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0460" windowHeight="7950"/>
  </bookViews>
  <sheets>
    <sheet name="6 THANG DAU NĂM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F138" i="4"/>
  <c r="G137"/>
  <c r="F137" s="1"/>
  <c r="D137"/>
  <c r="C137"/>
  <c r="F136"/>
  <c r="H135"/>
  <c r="G135"/>
  <c r="F135" s="1"/>
  <c r="F134"/>
  <c r="E134"/>
  <c r="F133"/>
  <c r="E133"/>
  <c r="F132"/>
  <c r="F131"/>
  <c r="E131"/>
  <c r="H130"/>
  <c r="F130"/>
  <c r="E130"/>
  <c r="H129"/>
  <c r="F129" s="1"/>
  <c r="E129"/>
  <c r="H128"/>
  <c r="F128"/>
  <c r="H127"/>
  <c r="F127" s="1"/>
  <c r="G127"/>
  <c r="D127"/>
  <c r="D126" s="1"/>
  <c r="E126" s="1"/>
  <c r="C127"/>
  <c r="E127" s="1"/>
  <c r="G126"/>
  <c r="C126"/>
  <c r="F125"/>
  <c r="F124"/>
  <c r="H123"/>
  <c r="G123"/>
  <c r="F123" s="1"/>
  <c r="D123"/>
  <c r="C123"/>
  <c r="E123" s="1"/>
  <c r="H122"/>
  <c r="F122"/>
  <c r="H121"/>
  <c r="G121"/>
  <c r="F121" s="1"/>
  <c r="F120"/>
  <c r="E120"/>
  <c r="H119"/>
  <c r="H118" s="1"/>
  <c r="E119"/>
  <c r="G118"/>
  <c r="G117" s="1"/>
  <c r="G105" s="1"/>
  <c r="D118"/>
  <c r="C118"/>
  <c r="E118" s="1"/>
  <c r="D117"/>
  <c r="H116"/>
  <c r="F116"/>
  <c r="E116"/>
  <c r="H115"/>
  <c r="F115" s="1"/>
  <c r="E115"/>
  <c r="H114"/>
  <c r="F114"/>
  <c r="E114"/>
  <c r="H113"/>
  <c r="H111" s="1"/>
  <c r="F111" s="1"/>
  <c r="E113"/>
  <c r="H112"/>
  <c r="F112"/>
  <c r="E112"/>
  <c r="G111"/>
  <c r="D111"/>
  <c r="E111" s="1"/>
  <c r="C111"/>
  <c r="H109"/>
  <c r="G109"/>
  <c r="D109"/>
  <c r="C109"/>
  <c r="F108"/>
  <c r="G107"/>
  <c r="F107"/>
  <c r="D107"/>
  <c r="C107"/>
  <c r="C106" s="1"/>
  <c r="G106"/>
  <c r="F106"/>
  <c r="D106"/>
  <c r="F104"/>
  <c r="F103"/>
  <c r="H102"/>
  <c r="F102"/>
  <c r="C102"/>
  <c r="H101"/>
  <c r="F101" s="1"/>
  <c r="G100"/>
  <c r="F100" s="1"/>
  <c r="C100"/>
  <c r="F99"/>
  <c r="F98"/>
  <c r="E98"/>
  <c r="F97"/>
  <c r="E97"/>
  <c r="H96"/>
  <c r="F96" s="1"/>
  <c r="H93"/>
  <c r="F93" s="1"/>
  <c r="G93"/>
  <c r="D93"/>
  <c r="E93" s="1"/>
  <c r="C93"/>
  <c r="C92" s="1"/>
  <c r="G92"/>
  <c r="H91"/>
  <c r="F91" s="1"/>
  <c r="E91"/>
  <c r="F90"/>
  <c r="F89"/>
  <c r="F88"/>
  <c r="E88"/>
  <c r="F87"/>
  <c r="E87"/>
  <c r="G86"/>
  <c r="F86"/>
  <c r="E86"/>
  <c r="F85"/>
  <c r="E85"/>
  <c r="G84"/>
  <c r="F84" s="1"/>
  <c r="E84"/>
  <c r="G83"/>
  <c r="E83"/>
  <c r="D83"/>
  <c r="C83"/>
  <c r="D80"/>
  <c r="E80" s="1"/>
  <c r="C80"/>
  <c r="F79"/>
  <c r="E79"/>
  <c r="F78"/>
  <c r="E78"/>
  <c r="G77"/>
  <c r="F77" s="1"/>
  <c r="E77"/>
  <c r="F76"/>
  <c r="E76"/>
  <c r="F75"/>
  <c r="E75"/>
  <c r="H74"/>
  <c r="F74" s="1"/>
  <c r="G74"/>
  <c r="E74"/>
  <c r="D74"/>
  <c r="C74"/>
  <c r="F73"/>
  <c r="H72"/>
  <c r="E72"/>
  <c r="E71"/>
  <c r="G70"/>
  <c r="F70"/>
  <c r="D70"/>
  <c r="E70" s="1"/>
  <c r="C70"/>
  <c r="F69"/>
  <c r="H68"/>
  <c r="F68"/>
  <c r="E68"/>
  <c r="F67"/>
  <c r="E67"/>
  <c r="H66"/>
  <c r="F66" s="1"/>
  <c r="E66"/>
  <c r="H65"/>
  <c r="F65"/>
  <c r="E65"/>
  <c r="H64"/>
  <c r="F64" s="1"/>
  <c r="G64"/>
  <c r="D64"/>
  <c r="E64" s="1"/>
  <c r="C64"/>
  <c r="E63"/>
  <c r="F61"/>
  <c r="H60"/>
  <c r="D60"/>
  <c r="E60" s="1"/>
  <c r="C60"/>
  <c r="E59"/>
  <c r="H58"/>
  <c r="F58"/>
  <c r="E58"/>
  <c r="H55"/>
  <c r="F55" s="1"/>
  <c r="E55"/>
  <c r="H54"/>
  <c r="F54"/>
  <c r="E54"/>
  <c r="H53"/>
  <c r="F53" s="1"/>
  <c r="G53"/>
  <c r="D53"/>
  <c r="E53" s="1"/>
  <c r="C53"/>
  <c r="H52"/>
  <c r="F52" s="1"/>
  <c r="E52"/>
  <c r="H51"/>
  <c r="F51"/>
  <c r="E51"/>
  <c r="H50"/>
  <c r="H49" s="1"/>
  <c r="E50"/>
  <c r="G49"/>
  <c r="D49"/>
  <c r="C49"/>
  <c r="E49" s="1"/>
  <c r="F49" s="1"/>
  <c r="H48"/>
  <c r="F48"/>
  <c r="E48"/>
  <c r="E47"/>
  <c r="H46"/>
  <c r="E46"/>
  <c r="H45"/>
  <c r="H44" s="1"/>
  <c r="E45"/>
  <c r="G44"/>
  <c r="F46" s="1"/>
  <c r="D44"/>
  <c r="C44"/>
  <c r="E44" s="1"/>
  <c r="F44" s="1"/>
  <c r="E42"/>
  <c r="E41"/>
  <c r="D41"/>
  <c r="C41"/>
  <c r="H40"/>
  <c r="F40"/>
  <c r="E40"/>
  <c r="H39"/>
  <c r="F39" s="1"/>
  <c r="E39"/>
  <c r="H38"/>
  <c r="F38"/>
  <c r="E38"/>
  <c r="H37"/>
  <c r="H36" s="1"/>
  <c r="E37"/>
  <c r="G36"/>
  <c r="G16" s="1"/>
  <c r="D36"/>
  <c r="C36"/>
  <c r="C16" s="1"/>
  <c r="H35"/>
  <c r="F35"/>
  <c r="E35"/>
  <c r="F34"/>
  <c r="E34"/>
  <c r="H33"/>
  <c r="G33"/>
  <c r="F33"/>
  <c r="D33"/>
  <c r="E33" s="1"/>
  <c r="C33"/>
  <c r="H32"/>
  <c r="F32" s="1"/>
  <c r="E32"/>
  <c r="H31"/>
  <c r="F31"/>
  <c r="E31"/>
  <c r="H29"/>
  <c r="F29" s="1"/>
  <c r="E29"/>
  <c r="H28"/>
  <c r="F28"/>
  <c r="E28"/>
  <c r="F27"/>
  <c r="E27"/>
  <c r="H25"/>
  <c r="F25" s="1"/>
  <c r="E25"/>
  <c r="H24"/>
  <c r="F24"/>
  <c r="E24"/>
  <c r="H23"/>
  <c r="F23" s="1"/>
  <c r="G23"/>
  <c r="D23"/>
  <c r="E23" s="1"/>
  <c r="C23"/>
  <c r="H21"/>
  <c r="G21"/>
  <c r="D21"/>
  <c r="C21"/>
  <c r="H20"/>
  <c r="F20" s="1"/>
  <c r="H19"/>
  <c r="F19" s="1"/>
  <c r="E19"/>
  <c r="D19"/>
  <c r="H18"/>
  <c r="F18" s="1"/>
  <c r="E18"/>
  <c r="D18"/>
  <c r="H17"/>
  <c r="G17"/>
  <c r="F17"/>
  <c r="D17"/>
  <c r="E17" s="1"/>
  <c r="C17"/>
  <c r="D16"/>
  <c r="G15"/>
  <c r="E106" l="1"/>
  <c r="F105"/>
  <c r="G14"/>
  <c r="H16"/>
  <c r="F36"/>
  <c r="F118"/>
  <c r="H117"/>
  <c r="F117" s="1"/>
  <c r="E16"/>
  <c r="F37"/>
  <c r="D43"/>
  <c r="D15" s="1"/>
  <c r="F50"/>
  <c r="H83"/>
  <c r="F83" s="1"/>
  <c r="D105"/>
  <c r="F113"/>
  <c r="F119"/>
  <c r="E36"/>
  <c r="C43"/>
  <c r="C15" s="1"/>
  <c r="D92"/>
  <c r="E92" s="1"/>
  <c r="H92"/>
  <c r="F92" s="1"/>
  <c r="C117"/>
  <c r="E117" s="1"/>
  <c r="H126"/>
  <c r="F126" s="1"/>
  <c r="C14" l="1"/>
  <c r="E15"/>
  <c r="D14"/>
  <c r="E14" s="1"/>
  <c r="C105"/>
  <c r="F16"/>
  <c r="H15"/>
  <c r="E105"/>
  <c r="E43"/>
  <c r="F43" s="1"/>
  <c r="H43"/>
  <c r="F15" l="1"/>
  <c r="H14"/>
  <c r="F14" s="1"/>
  <c r="F60" l="1"/>
  <c r="G60"/>
  <c r="G43"/>
  <c r="F45"/>
</calcChain>
</file>

<file path=xl/sharedStrings.xml><?xml version="1.0" encoding="utf-8"?>
<sst xmlns="http://schemas.openxmlformats.org/spreadsheetml/2006/main" count="249" uniqueCount="213">
  <si>
    <t>Biểu số 3 - Ban hành kèm theo Thông tư số 61/2017/TT-BTC ngày 15 tháng 6 năm 2017 của Bộ Tài chính</t>
  </si>
  <si>
    <t>ĐƠN VỊ: TRƯỜNG THCS AN BÌNH</t>
  </si>
  <si>
    <t>CHƯƠNG: 622 LOẠI: 070 KHOẢN: 073</t>
  </si>
  <si>
    <t>ĐÁNH GIÁ THỰC HiỆN DỰ TOÁN THU CHI NGÂN SÁCH</t>
  </si>
  <si>
    <t>6 THÁNG ĐẦU NĂM 2018</t>
  </si>
  <si>
    <t>Số TT</t>
  </si>
  <si>
    <t>Nội dung</t>
  </si>
  <si>
    <t>Dự toán năm</t>
  </si>
  <si>
    <t>Ước thực hiện 6 tháng đầu năm 2018</t>
  </si>
  <si>
    <t>So sánh (%)</t>
  </si>
  <si>
    <t>Dự toán</t>
  </si>
  <si>
    <t>Cùng kỳ năm trước</t>
  </si>
  <si>
    <t>I</t>
  </si>
  <si>
    <t>Tổng số thu, chi, nộp ngân sách phí, lệ phí</t>
  </si>
  <si>
    <t>II</t>
  </si>
  <si>
    <t>Dự toán chi ngân sách nhà nước</t>
  </si>
  <si>
    <t>DT NAM 2017</t>
  </si>
  <si>
    <t>QUÝ 1+2/17</t>
  </si>
  <si>
    <t>Chi sự nghiệp giáo dục, đào tạo, dạy nghề</t>
  </si>
  <si>
    <t>KINH PHÍ NHIỆM VỤ THƯỜNG XUYÊN</t>
  </si>
  <si>
    <t>Tiểu nhóm 0129: Chi thanh toán cho cá nhân</t>
  </si>
  <si>
    <t>6000</t>
  </si>
  <si>
    <t>Tiền lương</t>
  </si>
  <si>
    <t>6001</t>
  </si>
  <si>
    <t>Lương ngạch bậcđược duyệt</t>
  </si>
  <si>
    <t>6003</t>
  </si>
  <si>
    <t>Lương hợp đồng dài hạn</t>
  </si>
  <si>
    <t>6004</t>
  </si>
  <si>
    <t>Lương ngoài biên chế</t>
  </si>
  <si>
    <t>Tiền công trả cho lao động thường xuyên theo hợp đồng</t>
  </si>
  <si>
    <t>Tiền công trả cho lao động thường xuyên theo hợp đồng (Phục vụ)</t>
  </si>
  <si>
    <t>6100</t>
  </si>
  <si>
    <t>Phụ cấp lương</t>
  </si>
  <si>
    <t>6101</t>
  </si>
  <si>
    <t>Phụ cấp chức vụ</t>
  </si>
  <si>
    <t>6102</t>
  </si>
  <si>
    <t>Phụ cấp khu vực</t>
  </si>
  <si>
    <t>6106</t>
  </si>
  <si>
    <t>Phụ cấp thêm giờ, thêm buổi</t>
  </si>
  <si>
    <t>6107</t>
  </si>
  <si>
    <t>Phụ cấp độc hại, nguy hiểm</t>
  </si>
  <si>
    <t>6112</t>
  </si>
  <si>
    <t>Phụ cấp ưu đãi ngành</t>
  </si>
  <si>
    <t>Phụ cấp trách nhiệm theo nghề, theo công việc</t>
  </si>
  <si>
    <t>Phụ cấp trách nhiệm hướng dẫn tập sự</t>
  </si>
  <si>
    <t>Phụ cấp thâm niên nghề</t>
  </si>
  <si>
    <t>Phụ cấp thâm niên vượt khung</t>
  </si>
  <si>
    <t>6250</t>
  </si>
  <si>
    <t>Phúc lợi tập thể</t>
  </si>
  <si>
    <t>6253</t>
  </si>
  <si>
    <t>Tàu xe nghỉ phép năm</t>
  </si>
  <si>
    <t>6257</t>
  </si>
  <si>
    <t>Tiền nước uống</t>
  </si>
  <si>
    <t>6300</t>
  </si>
  <si>
    <t>Các khoản đóng góp</t>
  </si>
  <si>
    <t>6301</t>
  </si>
  <si>
    <t>Bảo hiểm xã hội</t>
  </si>
  <si>
    <t>6302</t>
  </si>
  <si>
    <t>Bảo hiểm y tế</t>
  </si>
  <si>
    <t>6303</t>
  </si>
  <si>
    <t>Kinh phí công đoàn</t>
  </si>
  <si>
    <t>6304</t>
  </si>
  <si>
    <t>Bảo hiểm thất nghiệp</t>
  </si>
  <si>
    <t>6400</t>
  </si>
  <si>
    <t>Các khoản thanh toán cho cá nhân</t>
  </si>
  <si>
    <t>6404</t>
  </si>
  <si>
    <t>Chi thu nhập tăng thêm theo cơ chế khoán tự chủ</t>
  </si>
  <si>
    <t>Tiểu nhóm 0030: Chi mua hàng hóa, dịch vụ</t>
  </si>
  <si>
    <t>6500</t>
  </si>
  <si>
    <t>Chi thanh toán dịch vụ công cộng</t>
  </si>
  <si>
    <t>6501</t>
  </si>
  <si>
    <t>Thanh toán tiền điện</t>
  </si>
  <si>
    <t>6502</t>
  </si>
  <si>
    <t>Thanh toán tiền nước</t>
  </si>
  <si>
    <t>6503</t>
  </si>
  <si>
    <t>Thanh toán tiền nhiên liệu</t>
  </si>
  <si>
    <t>6504</t>
  </si>
  <si>
    <t>Tiền vệ sinh môi trường</t>
  </si>
  <si>
    <t>6550</t>
  </si>
  <si>
    <t>Vật tư văn phòng</t>
  </si>
  <si>
    <t>6551</t>
  </si>
  <si>
    <t>Văn phòng phẩm</t>
  </si>
  <si>
    <t>6552</t>
  </si>
  <si>
    <t>Mua sắm CCDC</t>
  </si>
  <si>
    <t>6599</t>
  </si>
  <si>
    <t>Vật tư văn phòng khác</t>
  </si>
  <si>
    <t>6600</t>
  </si>
  <si>
    <t>Thông tin tuyên truyền liên lạc</t>
  </si>
  <si>
    <t>6601</t>
  </si>
  <si>
    <t>Cước phí điện thoại</t>
  </si>
  <si>
    <t>6608</t>
  </si>
  <si>
    <t>Sách, báo, tạp chí thư viện</t>
  </si>
  <si>
    <t>6613</t>
  </si>
  <si>
    <t>Chi tuyên truyền, giáo dục PL trong cơ quan</t>
  </si>
  <si>
    <t>6605</t>
  </si>
  <si>
    <t>Thuê bao cáp truyền hình</t>
  </si>
  <si>
    <t>6618</t>
  </si>
  <si>
    <t>Khoán tiền điện thoại</t>
  </si>
  <si>
    <t>Kết nối Internet</t>
  </si>
  <si>
    <t>6650</t>
  </si>
  <si>
    <t>Hội nghị</t>
  </si>
  <si>
    <t>6651</t>
  </si>
  <si>
    <t>In tài liệu</t>
  </si>
  <si>
    <t>6658</t>
  </si>
  <si>
    <t>Chi tiền nước</t>
  </si>
  <si>
    <t>6699</t>
  </si>
  <si>
    <t>Chi phí khác</t>
  </si>
  <si>
    <t>6700</t>
  </si>
  <si>
    <t>Công tác phí</t>
  </si>
  <si>
    <t>6701</t>
  </si>
  <si>
    <t>Tiền vé máy bay, tàu xe</t>
  </si>
  <si>
    <t>6702</t>
  </si>
  <si>
    <t>Phụ cấp công tác phí</t>
  </si>
  <si>
    <t>6703</t>
  </si>
  <si>
    <t>Tiền thuê phòng ngủ</t>
  </si>
  <si>
    <t>6704</t>
  </si>
  <si>
    <t>Khoán công tác phí</t>
  </si>
  <si>
    <t>6749</t>
  </si>
  <si>
    <t>Chi khác (tài liệu đi tập huấn)</t>
  </si>
  <si>
    <t>6750</t>
  </si>
  <si>
    <t>Chi phí thuê mướn</t>
  </si>
  <si>
    <t>6751</t>
  </si>
  <si>
    <t>Thuê phương tiện vận chuyển</t>
  </si>
  <si>
    <t>6754</t>
  </si>
  <si>
    <t>Thuê thiết bị âm thanh</t>
  </si>
  <si>
    <t>6799</t>
  </si>
  <si>
    <t>Chi phí thuê mướn khác (pho to, chăm sóc cây xanh)</t>
  </si>
  <si>
    <t>6900</t>
  </si>
  <si>
    <t>Sửa chữa thường xuyên TSCĐ</t>
  </si>
  <si>
    <t>6907</t>
  </si>
  <si>
    <t>Sửa chữa nhà cửa</t>
  </si>
  <si>
    <t>Sửa chữa thiết bị tin học</t>
  </si>
  <si>
    <t>Sửa chữa máy phô tô, điều hòa nhiệt độ, máy bơm nước, thiết bị phòng cháy chữa cháy, hệ thống âm thanh thi tiếng anh ...</t>
  </si>
  <si>
    <t>Đường điện cấp thoát nước</t>
  </si>
  <si>
    <t>Sửa chữa khác CSVC</t>
  </si>
  <si>
    <t>Mua sắm tài sản phục vụ công tác chuyên môn</t>
  </si>
  <si>
    <t>Làm khu vườn thực hành cho học sinh</t>
  </si>
  <si>
    <t>Mua sắm tài sản khác (âm thanh nghe tiếng anh)</t>
  </si>
  <si>
    <t>7000</t>
  </si>
  <si>
    <t>Chi nghiệp vụ chuyên môn</t>
  </si>
  <si>
    <t>7001</t>
  </si>
  <si>
    <t>Chi mua hàng hóa, vật tư cho chuyên môn</t>
  </si>
  <si>
    <t>7004</t>
  </si>
  <si>
    <t>Chi đồng phục trang phục TDTT</t>
  </si>
  <si>
    <t>7012</t>
  </si>
  <si>
    <t>Chi phí nghiệp vụ chuyên ngành (Sách, tài liệu cho hs, thi nghề)</t>
  </si>
  <si>
    <t>7049</t>
  </si>
  <si>
    <t>Chi khen thưởng học sinh (HK I+ HK II)</t>
  </si>
  <si>
    <t>Chi các hội thi học sinh tham gia</t>
  </si>
  <si>
    <t>Chi bồi dưỡng tập huấn chuyên môn</t>
  </si>
  <si>
    <t>Chi bồi dưỡng học sinh giỏi cấp tỉnh</t>
  </si>
  <si>
    <t>Chi bồi dưỡng giáo viên giỏi cấp tỉnh</t>
  </si>
  <si>
    <t>Tiểu nhóm 0132: Chi khác</t>
  </si>
  <si>
    <t>7750</t>
  </si>
  <si>
    <t>7757</t>
  </si>
  <si>
    <t>Chi bảo hiểm tài sản và phương tiện</t>
  </si>
  <si>
    <t>7761</t>
  </si>
  <si>
    <t>Chi tiếp khách</t>
  </si>
  <si>
    <t>7799</t>
  </si>
  <si>
    <t>Chi phí khác (cắm trại 20/11, khám sức khỏe định kỳ cho hs,  công nhận trường chuẩn...)</t>
  </si>
  <si>
    <t>Trích 10% CCTL</t>
  </si>
  <si>
    <t>7764</t>
  </si>
  <si>
    <t>Khen thưởng giáo viên</t>
  </si>
  <si>
    <t>Trích lập quỹ khen thưởng</t>
  </si>
  <si>
    <t>Tiểu nhóm 0135: Chi hỗ trợ vốn cho các doanh nghiệp, các quỹ và đầu tư vào tài sản</t>
  </si>
  <si>
    <t>9000</t>
  </si>
  <si>
    <t>Mua đầu tư tài sản vô hình</t>
  </si>
  <si>
    <t>9003</t>
  </si>
  <si>
    <t>Mua phầm mềm ra đề thi</t>
  </si>
  <si>
    <t>9050</t>
  </si>
  <si>
    <t>Mua sắm tài sản dùng cho công tác chuyên môn</t>
  </si>
  <si>
    <t>9099</t>
  </si>
  <si>
    <t>2.2 KINH PHÍ NHIỆM VỤ KHÔNG THƯỜNG XUYÊN</t>
  </si>
  <si>
    <t>6016</t>
  </si>
  <si>
    <t>Chi phụ cấp thêm giờ</t>
  </si>
  <si>
    <t>6103</t>
  </si>
  <si>
    <t>Phụ cấp thu hút</t>
  </si>
  <si>
    <t>6449</t>
  </si>
  <si>
    <t>Hỗ trợ NV làm thư viện (QĐ số 58/2015)</t>
  </si>
  <si>
    <t>Phụ cấp bảo vệ</t>
  </si>
  <si>
    <t>Hỗ trợ ưu đãi 30% (QĐ số 26/2011)</t>
  </si>
  <si>
    <t>Phụ cấp nhân viên phục vụ</t>
  </si>
  <si>
    <t>Hỗ trợ làm công tác phổ cập (QĐ số 27/2012)</t>
  </si>
  <si>
    <t>6758</t>
  </si>
  <si>
    <t>Chi học đại học</t>
  </si>
  <si>
    <t>Khuyến khích tự đào tạo</t>
  </si>
  <si>
    <t>Sửa chữa tài sản chuyên môn, các cơ sở hạ tầng</t>
  </si>
  <si>
    <t>6949</t>
  </si>
  <si>
    <t>Chi tiền cải tạo hệ thống PCCC và giềng khoan công nghiệp</t>
  </si>
  <si>
    <t>Chi đồng phục bảo vệ</t>
  </si>
  <si>
    <t>Kinh phí sinh hoạt hè</t>
  </si>
  <si>
    <t>7700</t>
  </si>
  <si>
    <t>Chi khác</t>
  </si>
  <si>
    <t>Chi khác (mua bảo hiểm PCCN)</t>
  </si>
  <si>
    <t>Chi tiền tết</t>
  </si>
  <si>
    <t>Hỗ trợ GV công tác xa nhà</t>
  </si>
  <si>
    <t>Tiền hỗ trợ 20/11</t>
  </si>
  <si>
    <t>Trợ cấp lần đầu</t>
  </si>
  <si>
    <t>Hỗ trợ chi phí học tập</t>
  </si>
  <si>
    <t>7766</t>
  </si>
  <si>
    <t>Cấp bù học phí</t>
  </si>
  <si>
    <t>Các quỹ đầu tư vào tài sản</t>
  </si>
  <si>
    <t>9049</t>
  </si>
  <si>
    <t>Chi tiền mua phần mềm cổng thông tin điện tử ePortal</t>
  </si>
  <si>
    <t>3.3. KINH PHÍ MUA SẮM</t>
  </si>
  <si>
    <t>Máy in, máy vi tính</t>
  </si>
  <si>
    <t xml:space="preserve">Mua bàn ghế học sinh </t>
  </si>
  <si>
    <t>Mua máy chiếu, láp top phục vụ dạy học</t>
  </si>
  <si>
    <t>Mua máy vi tính, máy in văn phòng</t>
  </si>
  <si>
    <t>Mua máy phô tô</t>
  </si>
  <si>
    <t>Hiệu trưởng</t>
  </si>
  <si>
    <t>Nguyễn Văn Quyên</t>
  </si>
  <si>
    <t>An Bình, ngày  17 tháng  9 năm 2018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</si>
</sst>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7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i/>
      <sz val="10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u/>
      <sz val="10"/>
      <color theme="1"/>
      <name val="Times New Roman"/>
      <family val="1"/>
    </font>
    <font>
      <b/>
      <u/>
      <sz val="10"/>
      <color rgb="FFFF0000"/>
      <name val="Times New Roman"/>
      <family val="1"/>
    </font>
    <font>
      <b/>
      <i/>
      <u/>
      <sz val="10"/>
      <name val="Times New Roman"/>
      <family val="1"/>
    </font>
    <font>
      <b/>
      <i/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i/>
      <u/>
      <sz val="10"/>
      <color indexed="8"/>
      <name val="Times New Roman"/>
      <family val="1"/>
    </font>
    <font>
      <b/>
      <i/>
      <u/>
      <sz val="10"/>
      <color theme="1"/>
      <name val="Times New Roman"/>
      <family val="1"/>
    </font>
    <font>
      <b/>
      <u/>
      <sz val="10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Times New Roman"/>
      <family val="1"/>
    </font>
    <font>
      <b/>
      <i/>
      <u/>
      <sz val="10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164" fontId="3" fillId="2" borderId="0" xfId="2" applyNumberFormat="1" applyFont="1" applyFill="1"/>
    <xf numFmtId="0" fontId="4" fillId="2" borderId="0" xfId="1" applyFont="1" applyFill="1"/>
    <xf numFmtId="0" fontId="2" fillId="2" borderId="0" xfId="1" applyFont="1" applyFill="1" applyAlignment="1">
      <alignment horizontal="center" vertical="center"/>
    </xf>
    <xf numFmtId="164" fontId="2" fillId="2" borderId="0" xfId="2" applyNumberFormat="1" applyFont="1" applyFill="1" applyAlignment="1">
      <alignment horizontal="center" vertical="center"/>
    </xf>
    <xf numFmtId="10" fontId="2" fillId="2" borderId="0" xfId="2" applyNumberFormat="1" applyFont="1" applyFill="1" applyAlignment="1">
      <alignment horizontal="center" vertical="center"/>
    </xf>
    <xf numFmtId="0" fontId="5" fillId="2" borderId="0" xfId="1" applyFont="1" applyFill="1"/>
    <xf numFmtId="164" fontId="5" fillId="2" borderId="0" xfId="2" applyNumberFormat="1" applyFont="1" applyFill="1"/>
    <xf numFmtId="10" fontId="5" fillId="2" borderId="0" xfId="2" applyNumberFormat="1" applyFont="1" applyFill="1"/>
    <xf numFmtId="164" fontId="6" fillId="2" borderId="0" xfId="2" applyNumberFormat="1" applyFont="1" applyFill="1"/>
    <xf numFmtId="0" fontId="5" fillId="2" borderId="0" xfId="1" applyFont="1" applyFill="1" applyAlignment="1">
      <alignment horizontal="center"/>
    </xf>
    <xf numFmtId="164" fontId="5" fillId="2" borderId="0" xfId="2" applyNumberFormat="1" applyFont="1" applyFill="1" applyAlignment="1">
      <alignment horizontal="center"/>
    </xf>
    <xf numFmtId="10" fontId="5" fillId="2" borderId="0" xfId="2" applyNumberFormat="1" applyFont="1" applyFill="1" applyAlignment="1">
      <alignment horizontal="center"/>
    </xf>
    <xf numFmtId="164" fontId="6" fillId="2" borderId="0" xfId="2" applyNumberFormat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10" fontId="5" fillId="2" borderId="8" xfId="2" applyNumberFormat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wrapText="1"/>
    </xf>
    <xf numFmtId="0" fontId="5" fillId="2" borderId="8" xfId="1" applyFont="1" applyFill="1" applyBorder="1" applyAlignment="1">
      <alignment wrapText="1"/>
    </xf>
    <xf numFmtId="164" fontId="5" fillId="2" borderId="8" xfId="2" applyNumberFormat="1" applyFont="1" applyFill="1" applyBorder="1"/>
    <xf numFmtId="10" fontId="5" fillId="2" borderId="8" xfId="2" applyNumberFormat="1" applyFont="1" applyFill="1" applyBorder="1"/>
    <xf numFmtId="164" fontId="6" fillId="2" borderId="0" xfId="2" applyNumberFormat="1" applyFont="1" applyFill="1" applyAlignment="1">
      <alignment horizontal="center"/>
    </xf>
    <xf numFmtId="0" fontId="7" fillId="2" borderId="8" xfId="1" applyFont="1" applyFill="1" applyBorder="1" applyAlignment="1">
      <alignment horizontal="center" wrapText="1"/>
    </xf>
    <xf numFmtId="0" fontId="7" fillId="2" borderId="8" xfId="1" applyFont="1" applyFill="1" applyBorder="1" applyAlignment="1">
      <alignment wrapText="1"/>
    </xf>
    <xf numFmtId="164" fontId="7" fillId="2" borderId="8" xfId="2" applyNumberFormat="1" applyFont="1" applyFill="1" applyBorder="1"/>
    <xf numFmtId="10" fontId="7" fillId="2" borderId="8" xfId="2" applyNumberFormat="1" applyFont="1" applyFill="1" applyBorder="1"/>
    <xf numFmtId="164" fontId="8" fillId="2" borderId="0" xfId="2" applyNumberFormat="1" applyFont="1" applyFill="1"/>
    <xf numFmtId="0" fontId="7" fillId="2" borderId="0" xfId="1" applyFont="1" applyFill="1"/>
    <xf numFmtId="0" fontId="9" fillId="2" borderId="8" xfId="1" applyFont="1" applyFill="1" applyBorder="1"/>
    <xf numFmtId="0" fontId="10" fillId="2" borderId="8" xfId="1" applyFont="1" applyFill="1" applyBorder="1" applyAlignment="1">
      <alignment wrapText="1"/>
    </xf>
    <xf numFmtId="164" fontId="10" fillId="2" borderId="8" xfId="2" applyNumberFormat="1" applyFont="1" applyFill="1" applyBorder="1"/>
    <xf numFmtId="10" fontId="10" fillId="2" borderId="8" xfId="2" applyNumberFormat="1" applyFont="1" applyFill="1" applyBorder="1"/>
    <xf numFmtId="164" fontId="11" fillId="2" borderId="0" xfId="2" applyNumberFormat="1" applyFont="1" applyFill="1"/>
    <xf numFmtId="0" fontId="10" fillId="2" borderId="0" xfId="1" applyFont="1" applyFill="1"/>
    <xf numFmtId="49" fontId="12" fillId="2" borderId="8" xfId="1" applyNumberFormat="1" applyFont="1" applyFill="1" applyBorder="1" applyAlignment="1">
      <alignment horizontal="center"/>
    </xf>
    <xf numFmtId="3" fontId="12" fillId="2" borderId="8" xfId="1" applyNumberFormat="1" applyFont="1" applyFill="1" applyBorder="1"/>
    <xf numFmtId="49" fontId="13" fillId="2" borderId="8" xfId="1" applyNumberFormat="1" applyFont="1" applyFill="1" applyBorder="1" applyAlignment="1">
      <alignment horizontal="center"/>
    </xf>
    <xf numFmtId="3" fontId="13" fillId="2" borderId="8" xfId="1" applyNumberFormat="1" applyFont="1" applyFill="1" applyBorder="1"/>
    <xf numFmtId="164" fontId="13" fillId="2" borderId="8" xfId="1" applyNumberFormat="1" applyFont="1" applyFill="1" applyBorder="1"/>
    <xf numFmtId="164" fontId="4" fillId="2" borderId="8" xfId="2" applyNumberFormat="1" applyFont="1" applyFill="1" applyBorder="1"/>
    <xf numFmtId="10" fontId="4" fillId="2" borderId="8" xfId="2" applyNumberFormat="1" applyFont="1" applyFill="1" applyBorder="1"/>
    <xf numFmtId="0" fontId="5" fillId="2" borderId="8" xfId="1" applyFont="1" applyFill="1" applyBorder="1" applyAlignment="1">
      <alignment horizontal="left"/>
    </xf>
    <xf numFmtId="0" fontId="14" fillId="2" borderId="8" xfId="1" applyFont="1" applyFill="1" applyBorder="1" applyAlignment="1">
      <alignment wrapText="1"/>
    </xf>
    <xf numFmtId="0" fontId="4" fillId="2" borderId="8" xfId="1" applyFont="1" applyFill="1" applyBorder="1"/>
    <xf numFmtId="0" fontId="15" fillId="2" borderId="8" xfId="1" applyFont="1" applyFill="1" applyBorder="1" applyAlignment="1">
      <alignment wrapText="1"/>
    </xf>
    <xf numFmtId="0" fontId="16" fillId="2" borderId="8" xfId="1" applyFont="1" applyFill="1" applyBorder="1" applyAlignment="1">
      <alignment horizontal="center"/>
    </xf>
    <xf numFmtId="0" fontId="13" fillId="2" borderId="8" xfId="1" applyFont="1" applyFill="1" applyBorder="1" applyAlignment="1">
      <alignment horizontal="center"/>
    </xf>
    <xf numFmtId="0" fontId="13" fillId="2" borderId="8" xfId="1" applyFont="1" applyFill="1" applyBorder="1"/>
    <xf numFmtId="49" fontId="17" fillId="2" borderId="8" xfId="1" applyNumberFormat="1" applyFont="1" applyFill="1" applyBorder="1" applyAlignment="1">
      <alignment horizontal="center"/>
    </xf>
    <xf numFmtId="3" fontId="17" fillId="2" borderId="8" xfId="1" applyNumberFormat="1" applyFont="1" applyFill="1" applyBorder="1"/>
    <xf numFmtId="49" fontId="9" fillId="2" borderId="8" xfId="1" applyNumberFormat="1" applyFont="1" applyFill="1" applyBorder="1"/>
    <xf numFmtId="3" fontId="18" fillId="2" borderId="8" xfId="1" applyNumberFormat="1" applyFont="1" applyFill="1" applyBorder="1"/>
    <xf numFmtId="164" fontId="19" fillId="2" borderId="8" xfId="2" applyNumberFormat="1" applyFont="1" applyFill="1" applyBorder="1"/>
    <xf numFmtId="10" fontId="19" fillId="2" borderId="8" xfId="2" applyNumberFormat="1" applyFont="1" applyFill="1" applyBorder="1"/>
    <xf numFmtId="9" fontId="5" fillId="2" borderId="8" xfId="3" applyFont="1" applyFill="1" applyBorder="1"/>
    <xf numFmtId="9" fontId="4" fillId="2" borderId="8" xfId="3" applyFont="1" applyFill="1" applyBorder="1"/>
    <xf numFmtId="0" fontId="6" fillId="2" borderId="0" xfId="1" applyFont="1" applyFill="1"/>
    <xf numFmtId="3" fontId="13" fillId="2" borderId="8" xfId="1" applyNumberFormat="1" applyFont="1" applyFill="1" applyBorder="1" applyAlignment="1">
      <alignment wrapText="1"/>
    </xf>
    <xf numFmtId="49" fontId="16" fillId="0" borderId="8" xfId="1" applyNumberFormat="1" applyFont="1" applyBorder="1" applyAlignment="1">
      <alignment horizontal="center"/>
    </xf>
    <xf numFmtId="0" fontId="13" fillId="0" borderId="8" xfId="1" applyFont="1" applyBorder="1"/>
    <xf numFmtId="0" fontId="13" fillId="0" borderId="8" xfId="1" applyFont="1" applyBorder="1" applyAlignment="1">
      <alignment horizontal="center"/>
    </xf>
    <xf numFmtId="0" fontId="13" fillId="0" borderId="8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left" vertical="center" wrapText="1"/>
    </xf>
    <xf numFmtId="0" fontId="17" fillId="2" borderId="8" xfId="1" applyFont="1" applyFill="1" applyBorder="1" applyAlignment="1">
      <alignment horizontal="center"/>
    </xf>
    <xf numFmtId="0" fontId="12" fillId="0" borderId="8" xfId="1" applyFont="1" applyBorder="1"/>
    <xf numFmtId="0" fontId="16" fillId="0" borderId="8" xfId="1" applyFont="1" applyBorder="1" applyAlignment="1">
      <alignment horizontal="center"/>
    </xf>
    <xf numFmtId="0" fontId="16" fillId="0" borderId="8" xfId="1" applyFont="1" applyBorder="1" applyAlignment="1">
      <alignment horizontal="left"/>
    </xf>
    <xf numFmtId="3" fontId="16" fillId="0" borderId="8" xfId="1" applyNumberFormat="1" applyFont="1" applyBorder="1"/>
    <xf numFmtId="49" fontId="13" fillId="0" borderId="8" xfId="1" applyNumberFormat="1" applyFont="1" applyBorder="1" applyAlignment="1">
      <alignment horizontal="center"/>
    </xf>
    <xf numFmtId="3" fontId="13" fillId="0" borderId="8" xfId="1" applyNumberFormat="1" applyFont="1" applyBorder="1"/>
    <xf numFmtId="49" fontId="13" fillId="0" borderId="8" xfId="1" applyNumberFormat="1" applyFont="1" applyBorder="1" applyAlignment="1">
      <alignment horizontal="center" vertical="center" wrapText="1"/>
    </xf>
    <xf numFmtId="3" fontId="13" fillId="0" borderId="8" xfId="1" applyNumberFormat="1" applyFont="1" applyBorder="1" applyAlignment="1">
      <alignment horizontal="left" vertical="center" wrapText="1"/>
    </xf>
    <xf numFmtId="3" fontId="16" fillId="0" borderId="8" xfId="1" applyNumberFormat="1" applyFont="1" applyBorder="1" applyAlignment="1"/>
    <xf numFmtId="3" fontId="16" fillId="0" borderId="8" xfId="1" applyNumberFormat="1" applyFont="1" applyBorder="1" applyAlignment="1">
      <alignment horizontal="left"/>
    </xf>
    <xf numFmtId="0" fontId="18" fillId="2" borderId="8" xfId="1" applyFont="1" applyFill="1" applyBorder="1"/>
    <xf numFmtId="0" fontId="19" fillId="2" borderId="8" xfId="1" applyFont="1" applyFill="1" applyBorder="1"/>
    <xf numFmtId="9" fontId="10" fillId="2" borderId="8" xfId="3" applyFont="1" applyFill="1" applyBorder="1"/>
    <xf numFmtId="0" fontId="16" fillId="0" borderId="8" xfId="1" applyFont="1" applyBorder="1"/>
    <xf numFmtId="3" fontId="20" fillId="2" borderId="8" xfId="1" applyNumberFormat="1" applyFont="1" applyFill="1" applyBorder="1"/>
    <xf numFmtId="0" fontId="7" fillId="2" borderId="8" xfId="1" applyFont="1" applyFill="1" applyBorder="1"/>
    <xf numFmtId="49" fontId="16" fillId="2" borderId="8" xfId="1" applyNumberFormat="1" applyFont="1" applyFill="1" applyBorder="1" applyAlignment="1">
      <alignment horizontal="center"/>
    </xf>
    <xf numFmtId="3" fontId="16" fillId="2" borderId="8" xfId="1" applyNumberFormat="1" applyFont="1" applyFill="1" applyBorder="1"/>
    <xf numFmtId="0" fontId="12" fillId="2" borderId="8" xfId="1" applyFont="1" applyFill="1" applyBorder="1"/>
    <xf numFmtId="0" fontId="21" fillId="2" borderId="0" xfId="1" applyFont="1" applyFill="1"/>
    <xf numFmtId="0" fontId="10" fillId="2" borderId="8" xfId="1" applyFont="1" applyFill="1" applyBorder="1"/>
    <xf numFmtId="0" fontId="19" fillId="2" borderId="0" xfId="1" applyFont="1" applyFill="1"/>
    <xf numFmtId="0" fontId="22" fillId="2" borderId="0" xfId="1" applyFont="1" applyFill="1"/>
    <xf numFmtId="164" fontId="23" fillId="2" borderId="0" xfId="2" applyNumberFormat="1" applyFont="1" applyFill="1"/>
    <xf numFmtId="0" fontId="24" fillId="2" borderId="0" xfId="1" applyFont="1" applyFill="1"/>
    <xf numFmtId="164" fontId="4" fillId="2" borderId="0" xfId="2" applyNumberFormat="1" applyFont="1" applyFill="1" applyBorder="1"/>
    <xf numFmtId="164" fontId="25" fillId="2" borderId="0" xfId="2" applyNumberFormat="1" applyFont="1" applyFill="1"/>
    <xf numFmtId="10" fontId="25" fillId="2" borderId="0" xfId="2" applyNumberFormat="1" applyFont="1" applyFill="1"/>
    <xf numFmtId="164" fontId="26" fillId="2" borderId="0" xfId="2" applyNumberFormat="1" applyFont="1" applyFill="1"/>
    <xf numFmtId="164" fontId="4" fillId="2" borderId="0" xfId="2" applyNumberFormat="1" applyFont="1" applyFill="1"/>
    <xf numFmtId="10" fontId="4" fillId="2" borderId="0" xfId="2" applyNumberFormat="1" applyFont="1" applyFill="1"/>
    <xf numFmtId="164" fontId="21" fillId="2" borderId="0" xfId="2" applyNumberFormat="1" applyFont="1" applyFill="1" applyAlignment="1">
      <alignment horizontal="center"/>
    </xf>
    <xf numFmtId="164" fontId="5" fillId="2" borderId="0" xfId="2" applyNumberFormat="1" applyFont="1" applyFill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164" fontId="5" fillId="2" borderId="4" xfId="2" applyNumberFormat="1" applyFont="1" applyFill="1" applyBorder="1" applyAlignment="1">
      <alignment horizontal="center" vertical="center" wrapText="1"/>
    </xf>
    <xf numFmtId="164" fontId="5" fillId="2" borderId="7" xfId="2" applyNumberFormat="1" applyFont="1" applyFill="1" applyBorder="1" applyAlignment="1">
      <alignment horizontal="center" vertical="center" wrapText="1"/>
    </xf>
    <xf numFmtId="43" fontId="5" fillId="2" borderId="2" xfId="2" applyFont="1" applyFill="1" applyBorder="1" applyAlignment="1">
      <alignment horizontal="center"/>
    </xf>
    <xf numFmtId="43" fontId="5" fillId="2" borderId="3" xfId="2" applyFont="1" applyFill="1" applyBorder="1" applyAlignment="1">
      <alignment horizontal="center"/>
    </xf>
    <xf numFmtId="43" fontId="5" fillId="2" borderId="5" xfId="2" applyFont="1" applyFill="1" applyBorder="1" applyAlignment="1">
      <alignment horizontal="center"/>
    </xf>
    <xf numFmtId="43" fontId="5" fillId="2" borderId="6" xfId="2" applyFont="1" applyFill="1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0"/>
  <sheetViews>
    <sheetView tabSelected="1" topLeftCell="A133" workbookViewId="0">
      <selection activeCell="E146" sqref="E146"/>
    </sheetView>
  </sheetViews>
  <sheetFormatPr defaultRowHeight="12.75"/>
  <cols>
    <col min="1" max="1" width="4.75" style="2" customWidth="1"/>
    <col min="2" max="2" width="33.75" style="2" customWidth="1"/>
    <col min="3" max="3" width="12.5" style="92" customWidth="1"/>
    <col min="4" max="4" width="12" style="92" customWidth="1"/>
    <col min="5" max="6" width="12" style="93" customWidth="1"/>
    <col min="7" max="7" width="18" style="1" hidden="1" customWidth="1"/>
    <col min="8" max="8" width="16.25" style="1" hidden="1" customWidth="1"/>
    <col min="9" max="16384" width="9" style="2"/>
  </cols>
  <sheetData>
    <row r="1" spans="1:8">
      <c r="A1" s="96" t="s">
        <v>0</v>
      </c>
      <c r="B1" s="96"/>
      <c r="C1" s="96"/>
      <c r="D1" s="96"/>
      <c r="E1" s="96"/>
      <c r="F1" s="96"/>
    </row>
    <row r="2" spans="1:8">
      <c r="A2" s="3"/>
      <c r="B2" s="3"/>
      <c r="C2" s="3"/>
      <c r="D2" s="4"/>
      <c r="E2" s="5"/>
      <c r="F2" s="5"/>
    </row>
    <row r="3" spans="1:8" s="6" customFormat="1">
      <c r="A3" s="6" t="s">
        <v>1</v>
      </c>
      <c r="C3" s="7"/>
      <c r="D3" s="7"/>
      <c r="E3" s="8"/>
      <c r="F3" s="8"/>
      <c r="G3" s="9"/>
      <c r="H3" s="9"/>
    </row>
    <row r="4" spans="1:8" s="6" customFormat="1">
      <c r="A4" s="6" t="s">
        <v>2</v>
      </c>
      <c r="C4" s="7"/>
      <c r="D4" s="7"/>
      <c r="E4" s="8"/>
      <c r="F4" s="8"/>
      <c r="G4" s="9"/>
      <c r="H4" s="9"/>
    </row>
    <row r="6" spans="1:8">
      <c r="A6" s="97" t="s">
        <v>3</v>
      </c>
      <c r="B6" s="97"/>
      <c r="C6" s="97"/>
      <c r="D6" s="97"/>
      <c r="E6" s="97"/>
      <c r="F6" s="97"/>
    </row>
    <row r="7" spans="1:8">
      <c r="A7" s="97" t="s">
        <v>4</v>
      </c>
      <c r="B7" s="97"/>
      <c r="C7" s="97"/>
      <c r="D7" s="97"/>
      <c r="E7" s="97"/>
      <c r="F7" s="97"/>
    </row>
    <row r="8" spans="1:8">
      <c r="A8" s="10"/>
      <c r="B8" s="10"/>
      <c r="C8" s="11"/>
      <c r="D8" s="11"/>
      <c r="E8" s="12"/>
      <c r="F8" s="12"/>
    </row>
    <row r="9" spans="1:8" ht="12.75" customHeight="1">
      <c r="A9" s="98" t="s">
        <v>5</v>
      </c>
      <c r="B9" s="98" t="s">
        <v>6</v>
      </c>
      <c r="C9" s="101" t="s">
        <v>7</v>
      </c>
      <c r="D9" s="101" t="s">
        <v>8</v>
      </c>
      <c r="E9" s="104" t="s">
        <v>9</v>
      </c>
      <c r="F9" s="105"/>
    </row>
    <row r="10" spans="1:8" s="14" customFormat="1">
      <c r="A10" s="99"/>
      <c r="B10" s="99"/>
      <c r="C10" s="102"/>
      <c r="D10" s="102"/>
      <c r="E10" s="106"/>
      <c r="F10" s="107"/>
      <c r="G10" s="13"/>
      <c r="H10" s="13"/>
    </row>
    <row r="11" spans="1:8" s="14" customFormat="1" ht="25.5">
      <c r="A11" s="100"/>
      <c r="B11" s="100"/>
      <c r="C11" s="103"/>
      <c r="D11" s="103"/>
      <c r="E11" s="15" t="s">
        <v>10</v>
      </c>
      <c r="F11" s="15" t="s">
        <v>11</v>
      </c>
      <c r="G11" s="13"/>
      <c r="H11" s="13"/>
    </row>
    <row r="12" spans="1:8" s="6" customFormat="1" ht="16.5" customHeight="1">
      <c r="A12" s="16" t="s">
        <v>12</v>
      </c>
      <c r="B12" s="17" t="s">
        <v>13</v>
      </c>
      <c r="C12" s="18"/>
      <c r="D12" s="18"/>
      <c r="E12" s="19"/>
      <c r="F12" s="19"/>
      <c r="G12" s="9"/>
      <c r="H12" s="9"/>
    </row>
    <row r="13" spans="1:8" s="6" customFormat="1" ht="16.5" customHeight="1">
      <c r="A13" s="16" t="s">
        <v>14</v>
      </c>
      <c r="B13" s="17" t="s">
        <v>15</v>
      </c>
      <c r="C13" s="18"/>
      <c r="D13" s="18"/>
      <c r="E13" s="19"/>
      <c r="F13" s="19"/>
      <c r="G13" s="20" t="s">
        <v>16</v>
      </c>
      <c r="H13" s="20" t="s">
        <v>17</v>
      </c>
    </row>
    <row r="14" spans="1:8" s="6" customFormat="1" ht="16.5" customHeight="1">
      <c r="A14" s="16">
        <v>1</v>
      </c>
      <c r="B14" s="17" t="s">
        <v>18</v>
      </c>
      <c r="C14" s="18">
        <f>C15+C105</f>
        <v>10353234000</v>
      </c>
      <c r="D14" s="18">
        <f>D15+D105</f>
        <v>4223758294</v>
      </c>
      <c r="E14" s="19">
        <f>D14/C14</f>
        <v>0.40796511447534173</v>
      </c>
      <c r="F14" s="19">
        <f t="shared" ref="F14:F20" si="0">(H14/G14)</f>
        <v>0.37745012710490738</v>
      </c>
      <c r="G14" s="9">
        <f>G15+G105+G138</f>
        <v>9457542000</v>
      </c>
      <c r="H14" s="9">
        <f>H15+H113</f>
        <v>3569750430</v>
      </c>
    </row>
    <row r="15" spans="1:8" s="26" customFormat="1" ht="16.5" customHeight="1">
      <c r="A15" s="21">
        <v>1.1000000000000001</v>
      </c>
      <c r="B15" s="22" t="s">
        <v>19</v>
      </c>
      <c r="C15" s="23">
        <f>C16+C43+C92+C100</f>
        <v>9095577000</v>
      </c>
      <c r="D15" s="23">
        <f>D16+D43+D92+D100</f>
        <v>4013560094</v>
      </c>
      <c r="E15" s="24">
        <f>(D15/C15)</f>
        <v>0.44126503398300077</v>
      </c>
      <c r="F15" s="24">
        <f t="shared" si="0"/>
        <v>0.42296890441319079</v>
      </c>
      <c r="G15" s="25">
        <f>6743359190+1033470000+494883753+142500000</f>
        <v>8414212943</v>
      </c>
      <c r="H15" s="25">
        <f>H16+H43+H92+H100</f>
        <v>3558950430</v>
      </c>
    </row>
    <row r="16" spans="1:8" s="32" customFormat="1" ht="16.5" customHeight="1">
      <c r="A16" s="27" t="s">
        <v>20</v>
      </c>
      <c r="B16" s="28"/>
      <c r="C16" s="29">
        <f>C17+C21+C23+C33+C36+C41</f>
        <v>7421447950</v>
      </c>
      <c r="D16" s="29">
        <f>D17+D21+D23+D33+D36+D41</f>
        <v>3687544424</v>
      </c>
      <c r="E16" s="30">
        <f t="shared" ref="E16:E17" si="1">(D16/C16)</f>
        <v>0.49687668078302699</v>
      </c>
      <c r="F16" s="30">
        <f t="shared" si="0"/>
        <v>0.49805823542376065</v>
      </c>
      <c r="G16" s="31">
        <f>G17+G21+G23+G33+G36</f>
        <v>6743359190</v>
      </c>
      <c r="H16" s="31">
        <f>H17+H23+H36</f>
        <v>3358585579</v>
      </c>
    </row>
    <row r="17" spans="1:8" s="6" customFormat="1" ht="16.5" customHeight="1">
      <c r="A17" s="33" t="s">
        <v>21</v>
      </c>
      <c r="B17" s="34" t="s">
        <v>22</v>
      </c>
      <c r="C17" s="18">
        <f>SUM(C18:C20)</f>
        <v>4184544000</v>
      </c>
      <c r="D17" s="18">
        <f>SUM(D18:D20)</f>
        <v>2084446000</v>
      </c>
      <c r="E17" s="19">
        <f t="shared" si="1"/>
        <v>0.49812978427279053</v>
      </c>
      <c r="F17" s="19">
        <f t="shared" si="0"/>
        <v>0.50245956036292849</v>
      </c>
      <c r="G17" s="9">
        <f>SUM(G18:G20)</f>
        <v>3798629479</v>
      </c>
      <c r="H17" s="9">
        <f>SUM(H18:H20)</f>
        <v>1908657698</v>
      </c>
    </row>
    <row r="18" spans="1:8" ht="16.5" customHeight="1">
      <c r="A18" s="35" t="s">
        <v>23</v>
      </c>
      <c r="B18" s="36" t="s">
        <v>24</v>
      </c>
      <c r="C18" s="37">
        <v>2588352000</v>
      </c>
      <c r="D18" s="38">
        <f>639249000*2</f>
        <v>1278498000</v>
      </c>
      <c r="E18" s="39">
        <f>(D18/C18)</f>
        <v>0.49394286403085824</v>
      </c>
      <c r="F18" s="39">
        <f t="shared" si="0"/>
        <v>0.51848164722986567</v>
      </c>
      <c r="G18" s="1">
        <v>2333091064</v>
      </c>
      <c r="H18" s="1">
        <f>612054299+597610599</f>
        <v>1209664898</v>
      </c>
    </row>
    <row r="19" spans="1:8" ht="16.5" customHeight="1">
      <c r="A19" s="35" t="s">
        <v>25</v>
      </c>
      <c r="B19" s="36" t="s">
        <v>26</v>
      </c>
      <c r="C19" s="37">
        <v>1596192000</v>
      </c>
      <c r="D19" s="38">
        <f>399841000+406107000</f>
        <v>805948000</v>
      </c>
      <c r="E19" s="39">
        <f t="shared" ref="E19:F83" si="2">(D19/C19)</f>
        <v>0.50491920771436016</v>
      </c>
      <c r="F19" s="39">
        <f t="shared" si="0"/>
        <v>0.36154239729012239</v>
      </c>
      <c r="G19" s="1">
        <v>1200621015</v>
      </c>
      <c r="H19" s="1">
        <f>211955700+222119700</f>
        <v>434075400</v>
      </c>
    </row>
    <row r="20" spans="1:8" ht="16.5" customHeight="1">
      <c r="A20" s="35" t="s">
        <v>27</v>
      </c>
      <c r="B20" s="36" t="s">
        <v>28</v>
      </c>
      <c r="C20" s="38">
        <v>0</v>
      </c>
      <c r="D20" s="38">
        <v>0</v>
      </c>
      <c r="E20" s="39">
        <v>0</v>
      </c>
      <c r="F20" s="39">
        <f t="shared" si="0"/>
        <v>1</v>
      </c>
      <c r="G20" s="1">
        <v>264917400</v>
      </c>
      <c r="H20" s="1">
        <f>130244400+134673000</f>
        <v>264917400</v>
      </c>
    </row>
    <row r="21" spans="1:8" s="6" customFormat="1" ht="27.75" customHeight="1">
      <c r="A21" s="40">
        <v>6050</v>
      </c>
      <c r="B21" s="41" t="s">
        <v>29</v>
      </c>
      <c r="C21" s="18">
        <f>C22</f>
        <v>42000000</v>
      </c>
      <c r="D21" s="18">
        <f>D22</f>
        <v>21180000</v>
      </c>
      <c r="E21" s="19">
        <v>0</v>
      </c>
      <c r="F21" s="19">
        <v>0</v>
      </c>
      <c r="G21" s="9">
        <f>G22</f>
        <v>0</v>
      </c>
      <c r="H21" s="9">
        <f>H22</f>
        <v>0</v>
      </c>
    </row>
    <row r="22" spans="1:8" ht="27.75" customHeight="1">
      <c r="A22" s="42">
        <v>6051</v>
      </c>
      <c r="B22" s="43" t="s">
        <v>30</v>
      </c>
      <c r="C22" s="38">
        <v>42000000</v>
      </c>
      <c r="D22" s="38">
        <v>21180000</v>
      </c>
      <c r="E22" s="39">
        <v>0</v>
      </c>
      <c r="F22" s="39">
        <v>0</v>
      </c>
    </row>
    <row r="23" spans="1:8" s="6" customFormat="1" ht="16.5" customHeight="1">
      <c r="A23" s="33" t="s">
        <v>31</v>
      </c>
      <c r="B23" s="34" t="s">
        <v>32</v>
      </c>
      <c r="C23" s="18">
        <f>SUM(C24:C32)</f>
        <v>2029149360</v>
      </c>
      <c r="D23" s="18">
        <f>SUM(D24:D32)</f>
        <v>1009946864</v>
      </c>
      <c r="E23" s="19">
        <f t="shared" si="2"/>
        <v>0.49771933200619595</v>
      </c>
      <c r="F23" s="19">
        <f t="shared" ref="F23:F29" si="3">(H23/G23)</f>
        <v>0.50343014108288775</v>
      </c>
      <c r="G23" s="9">
        <f>SUM(G24:G32)</f>
        <v>1835246670</v>
      </c>
      <c r="H23" s="9">
        <f>SUM(H24:H32)</f>
        <v>923918490</v>
      </c>
    </row>
    <row r="24" spans="1:8" ht="16.5" customHeight="1">
      <c r="A24" s="35" t="s">
        <v>33</v>
      </c>
      <c r="B24" s="36" t="s">
        <v>34</v>
      </c>
      <c r="C24" s="38">
        <v>66300000</v>
      </c>
      <c r="D24" s="38">
        <v>33150000</v>
      </c>
      <c r="E24" s="39">
        <f t="shared" si="2"/>
        <v>0.5</v>
      </c>
      <c r="F24" s="39">
        <f t="shared" si="3"/>
        <v>0.47680295406194584</v>
      </c>
      <c r="G24" s="1">
        <v>67757550</v>
      </c>
      <c r="H24" s="1">
        <f>16335000+15972000</f>
        <v>32307000</v>
      </c>
    </row>
    <row r="25" spans="1:8" ht="16.5" customHeight="1">
      <c r="A25" s="35" t="s">
        <v>35</v>
      </c>
      <c r="B25" s="36" t="s">
        <v>36</v>
      </c>
      <c r="C25" s="38">
        <v>121680000</v>
      </c>
      <c r="D25" s="38">
        <v>59800000</v>
      </c>
      <c r="E25" s="39">
        <f t="shared" si="2"/>
        <v>0.49145299145299143</v>
      </c>
      <c r="F25" s="39">
        <f t="shared" si="3"/>
        <v>0.46728300120369132</v>
      </c>
      <c r="G25" s="1">
        <v>119632000</v>
      </c>
      <c r="H25" s="1">
        <f>27830000+28072000</f>
        <v>55902000</v>
      </c>
    </row>
    <row r="26" spans="1:8" ht="16.5" customHeight="1">
      <c r="A26" s="35" t="s">
        <v>37</v>
      </c>
      <c r="B26" s="36" t="s">
        <v>38</v>
      </c>
      <c r="C26" s="38">
        <v>0</v>
      </c>
      <c r="D26" s="38">
        <v>0</v>
      </c>
      <c r="E26" s="39">
        <v>0</v>
      </c>
      <c r="F26" s="39">
        <v>0</v>
      </c>
    </row>
    <row r="27" spans="1:8" ht="16.5" customHeight="1">
      <c r="A27" s="35" t="s">
        <v>39</v>
      </c>
      <c r="B27" s="36" t="s">
        <v>40</v>
      </c>
      <c r="C27" s="38">
        <v>3120000</v>
      </c>
      <c r="D27" s="38">
        <v>1560000</v>
      </c>
      <c r="E27" s="39">
        <f>(D27/C27)</f>
        <v>0.5</v>
      </c>
      <c r="F27" s="39">
        <f t="shared" si="3"/>
        <v>0</v>
      </c>
      <c r="G27" s="1">
        <v>1830000</v>
      </c>
      <c r="H27" s="1">
        <v>0</v>
      </c>
    </row>
    <row r="28" spans="1:8" ht="16.5" customHeight="1">
      <c r="A28" s="35" t="s">
        <v>41</v>
      </c>
      <c r="B28" s="36" t="s">
        <v>42</v>
      </c>
      <c r="C28" s="38">
        <v>1263210000</v>
      </c>
      <c r="D28" s="38">
        <v>634830378</v>
      </c>
      <c r="E28" s="39">
        <f t="shared" ref="E28" si="4">(D28/C28)</f>
        <v>0.50255331892559429</v>
      </c>
      <c r="F28" s="39">
        <f t="shared" si="3"/>
        <v>0.51687984191240977</v>
      </c>
      <c r="G28" s="1">
        <v>1125097800</v>
      </c>
      <c r="H28" s="1">
        <f>293431884+288108489</f>
        <v>581540373</v>
      </c>
    </row>
    <row r="29" spans="1:8" ht="16.5" customHeight="1">
      <c r="A29" s="44">
        <v>6113</v>
      </c>
      <c r="B29" s="36" t="s">
        <v>43</v>
      </c>
      <c r="C29" s="38">
        <v>7800000</v>
      </c>
      <c r="D29" s="38">
        <v>2340000</v>
      </c>
      <c r="E29" s="39">
        <f t="shared" si="2"/>
        <v>0.3</v>
      </c>
      <c r="F29" s="39">
        <f t="shared" si="3"/>
        <v>0.4285352896534278</v>
      </c>
      <c r="G29" s="1">
        <v>7906000</v>
      </c>
      <c r="H29" s="1">
        <f>1815000+1573000</f>
        <v>3388000</v>
      </c>
    </row>
    <row r="30" spans="1:8" ht="16.5" customHeight="1">
      <c r="A30" s="45">
        <v>6113</v>
      </c>
      <c r="B30" s="46" t="s">
        <v>44</v>
      </c>
      <c r="C30" s="38">
        <v>0</v>
      </c>
      <c r="D30" s="18">
        <v>0</v>
      </c>
      <c r="E30" s="39">
        <v>0</v>
      </c>
      <c r="F30" s="39">
        <v>0</v>
      </c>
    </row>
    <row r="31" spans="1:8" ht="16.5" customHeight="1">
      <c r="A31" s="45">
        <v>6115</v>
      </c>
      <c r="B31" s="46" t="s">
        <v>45</v>
      </c>
      <c r="C31" s="38">
        <v>557716800</v>
      </c>
      <c r="D31" s="38">
        <v>275547406</v>
      </c>
      <c r="E31" s="39">
        <f t="shared" si="2"/>
        <v>0.49406330596460424</v>
      </c>
      <c r="F31" s="39">
        <f>(H31/G31)</f>
        <v>0.48949791449213775</v>
      </c>
      <c r="G31" s="1">
        <v>503459622</v>
      </c>
      <c r="H31" s="1">
        <f>121032577+125409858</f>
        <v>246442435</v>
      </c>
    </row>
    <row r="32" spans="1:8" ht="16.5" customHeight="1">
      <c r="A32" s="45">
        <v>6117</v>
      </c>
      <c r="B32" s="46" t="s">
        <v>46</v>
      </c>
      <c r="C32" s="38">
        <v>9322560</v>
      </c>
      <c r="D32" s="38">
        <v>2719080</v>
      </c>
      <c r="E32" s="39">
        <f t="shared" si="2"/>
        <v>0.29166666666666669</v>
      </c>
      <c r="F32" s="39">
        <f>(H32/G32)</f>
        <v>0.45366154389233121</v>
      </c>
      <c r="G32" s="1">
        <v>9563698</v>
      </c>
      <c r="H32" s="1">
        <f>2169391+2169291</f>
        <v>4338682</v>
      </c>
    </row>
    <row r="33" spans="1:8" s="6" customFormat="1" ht="16.5" customHeight="1">
      <c r="A33" s="33" t="s">
        <v>47</v>
      </c>
      <c r="B33" s="34" t="s">
        <v>48</v>
      </c>
      <c r="C33" s="18">
        <f>SUM(C34:C35)</f>
        <v>15552000</v>
      </c>
      <c r="D33" s="18">
        <f>SUM(D34:D35)</f>
        <v>0</v>
      </c>
      <c r="E33" s="19">
        <f t="shared" si="2"/>
        <v>0</v>
      </c>
      <c r="F33" s="19">
        <f>(H33/G33)</f>
        <v>0.14957264957264957</v>
      </c>
      <c r="G33" s="9">
        <f>SUM(G34:G35)</f>
        <v>18720000</v>
      </c>
      <c r="H33" s="9">
        <f>SUM(H34:H35)</f>
        <v>2800000</v>
      </c>
    </row>
    <row r="34" spans="1:8" ht="16.5" customHeight="1">
      <c r="A34" s="35" t="s">
        <v>49</v>
      </c>
      <c r="B34" s="36" t="s">
        <v>50</v>
      </c>
      <c r="C34" s="38">
        <v>9000000</v>
      </c>
      <c r="D34" s="38">
        <v>0</v>
      </c>
      <c r="E34" s="39">
        <f t="shared" si="2"/>
        <v>0</v>
      </c>
      <c r="F34" s="39">
        <f>(H34/G34)</f>
        <v>0</v>
      </c>
      <c r="G34" s="1">
        <v>12000000</v>
      </c>
    </row>
    <row r="35" spans="1:8" ht="16.5" customHeight="1">
      <c r="A35" s="35" t="s">
        <v>51</v>
      </c>
      <c r="B35" s="36" t="s">
        <v>52</v>
      </c>
      <c r="C35" s="38">
        <v>6552000</v>
      </c>
      <c r="D35" s="38">
        <v>0</v>
      </c>
      <c r="E35" s="39">
        <f t="shared" si="2"/>
        <v>0</v>
      </c>
      <c r="F35" s="39">
        <f>(H35/G35)</f>
        <v>0.41666666666666669</v>
      </c>
      <c r="G35" s="1">
        <v>6720000</v>
      </c>
      <c r="H35" s="1">
        <f>2800000</f>
        <v>2800000</v>
      </c>
    </row>
    <row r="36" spans="1:8" s="6" customFormat="1" ht="16.5" customHeight="1">
      <c r="A36" s="33" t="s">
        <v>53</v>
      </c>
      <c r="B36" s="34" t="s">
        <v>54</v>
      </c>
      <c r="C36" s="18">
        <f>SUM(C37:C40)</f>
        <v>1132202590</v>
      </c>
      <c r="D36" s="18">
        <f>SUM(D37:D40)</f>
        <v>567471560</v>
      </c>
      <c r="E36" s="19">
        <f t="shared" si="2"/>
        <v>0.50121026485198206</v>
      </c>
      <c r="F36" s="19">
        <f t="shared" ref="F36:F40" si="5">(H36/G36)</f>
        <v>0.48223983691064576</v>
      </c>
      <c r="G36" s="9">
        <f>SUM(G37:G40)</f>
        <v>1090763041</v>
      </c>
      <c r="H36" s="9">
        <f>SUM(H37:H40)</f>
        <v>526009391</v>
      </c>
    </row>
    <row r="37" spans="1:8" ht="16.5" customHeight="1">
      <c r="A37" s="35" t="s">
        <v>55</v>
      </c>
      <c r="B37" s="36" t="s">
        <v>56</v>
      </c>
      <c r="C37" s="38">
        <v>843129588</v>
      </c>
      <c r="D37" s="38">
        <v>422982435</v>
      </c>
      <c r="E37" s="39">
        <f t="shared" si="2"/>
        <v>0.50168140345230061</v>
      </c>
      <c r="F37" s="39">
        <f t="shared" si="5"/>
        <v>0.48377892246996412</v>
      </c>
      <c r="G37" s="1">
        <v>815469686</v>
      </c>
      <c r="H37" s="1">
        <f>196882446+197624600</f>
        <v>394507046</v>
      </c>
    </row>
    <row r="38" spans="1:8" ht="16.5" customHeight="1">
      <c r="A38" s="35" t="s">
        <v>57</v>
      </c>
      <c r="B38" s="36" t="s">
        <v>58</v>
      </c>
      <c r="C38" s="38">
        <v>144536501</v>
      </c>
      <c r="D38" s="38">
        <v>72511274</v>
      </c>
      <c r="E38" s="39">
        <f t="shared" si="2"/>
        <v>0.50168139880458296</v>
      </c>
      <c r="F38" s="39">
        <f t="shared" si="5"/>
        <v>0.47681677347522355</v>
      </c>
      <c r="G38" s="1">
        <v>137896099</v>
      </c>
      <c r="H38" s="1">
        <f>32813740+32937433</f>
        <v>65751173</v>
      </c>
    </row>
    <row r="39" spans="1:8" ht="16.5" customHeight="1">
      <c r="A39" s="35" t="s">
        <v>59</v>
      </c>
      <c r="B39" s="36" t="s">
        <v>60</v>
      </c>
      <c r="C39" s="38">
        <v>96357667</v>
      </c>
      <c r="D39" s="38">
        <v>48340849</v>
      </c>
      <c r="E39" s="39">
        <f t="shared" si="2"/>
        <v>0.50168139708073256</v>
      </c>
      <c r="F39" s="39">
        <f t="shared" si="5"/>
        <v>0.47681652953250836</v>
      </c>
      <c r="G39" s="1">
        <v>91930779</v>
      </c>
      <c r="H39" s="1">
        <f>21875827+21958288</f>
        <v>43834115</v>
      </c>
    </row>
    <row r="40" spans="1:8" ht="16.5" customHeight="1">
      <c r="A40" s="35" t="s">
        <v>61</v>
      </c>
      <c r="B40" s="36" t="s">
        <v>62</v>
      </c>
      <c r="C40" s="38">
        <v>48178834</v>
      </c>
      <c r="D40" s="38">
        <v>23637002</v>
      </c>
      <c r="E40" s="39">
        <f t="shared" si="2"/>
        <v>0.49060967311911285</v>
      </c>
      <c r="F40" s="39">
        <f t="shared" si="5"/>
        <v>0.48204871910352765</v>
      </c>
      <c r="G40" s="1">
        <v>45466477</v>
      </c>
      <c r="H40" s="1">
        <f>10937913+10979144</f>
        <v>21917057</v>
      </c>
    </row>
    <row r="41" spans="1:8" s="6" customFormat="1" ht="17.25" customHeight="1">
      <c r="A41" s="47" t="s">
        <v>63</v>
      </c>
      <c r="B41" s="48" t="s">
        <v>64</v>
      </c>
      <c r="C41" s="18">
        <f>C42</f>
        <v>18000000</v>
      </c>
      <c r="D41" s="18">
        <f>D42</f>
        <v>4500000</v>
      </c>
      <c r="E41" s="19">
        <f>D41/C41</f>
        <v>0.25</v>
      </c>
      <c r="F41" s="19">
        <v>0</v>
      </c>
      <c r="G41" s="9">
        <v>0</v>
      </c>
      <c r="H41" s="9">
        <v>0</v>
      </c>
    </row>
    <row r="42" spans="1:8" ht="17.25" customHeight="1">
      <c r="A42" s="35" t="s">
        <v>65</v>
      </c>
      <c r="B42" s="36" t="s">
        <v>66</v>
      </c>
      <c r="C42" s="38">
        <v>18000000</v>
      </c>
      <c r="D42" s="38">
        <v>4500000</v>
      </c>
      <c r="E42" s="39">
        <f>D42/C42</f>
        <v>0.25</v>
      </c>
      <c r="F42" s="39">
        <v>0</v>
      </c>
    </row>
    <row r="43" spans="1:8" s="32" customFormat="1" ht="16.5" customHeight="1">
      <c r="A43" s="49" t="s">
        <v>67</v>
      </c>
      <c r="B43" s="50"/>
      <c r="C43" s="51">
        <f>C44+C49+C53+C60+C64+C70+C74+C80+C83</f>
        <v>1359289050</v>
      </c>
      <c r="D43" s="51">
        <f>D44+D49+D53+D60+D64+D70+D74+D80+D83</f>
        <v>301651018</v>
      </c>
      <c r="E43" s="52">
        <f t="shared" si="2"/>
        <v>0.22191822850334886</v>
      </c>
      <c r="F43" s="52">
        <f t="shared" si="2"/>
        <v>7.3567869909641363E-10</v>
      </c>
      <c r="G43" s="31">
        <f ca="1">G44+G49+G53+G60+G64+G70+G74+G83</f>
        <v>1033470000</v>
      </c>
      <c r="H43" s="31">
        <f>H44+H49+H53+H60+H64+H70+H74+H83</f>
        <v>182904851</v>
      </c>
    </row>
    <row r="44" spans="1:8" s="6" customFormat="1" ht="16.5" customHeight="1">
      <c r="A44" s="33" t="s">
        <v>68</v>
      </c>
      <c r="B44" s="34" t="s">
        <v>69</v>
      </c>
      <c r="C44" s="18">
        <f>SUM(C45:C48)</f>
        <v>102000000</v>
      </c>
      <c r="D44" s="18">
        <f>SUM(D45:D48)</f>
        <v>28716851</v>
      </c>
      <c r="E44" s="19">
        <f t="shared" si="2"/>
        <v>0.28153775490196076</v>
      </c>
      <c r="F44" s="19">
        <f t="shared" si="2"/>
        <v>9.8039215686274492E-9</v>
      </c>
      <c r="G44" s="9">
        <f>SUM(G45:G48)</f>
        <v>91600000</v>
      </c>
      <c r="H44" s="9">
        <f>SUM(H45:H48)</f>
        <v>49457385</v>
      </c>
    </row>
    <row r="45" spans="1:8" ht="16.5" customHeight="1">
      <c r="A45" s="35" t="s">
        <v>70</v>
      </c>
      <c r="B45" s="36" t="s">
        <v>71</v>
      </c>
      <c r="C45" s="38">
        <v>60000000</v>
      </c>
      <c r="D45" s="38">
        <v>17445451</v>
      </c>
      <c r="E45" s="39">
        <f t="shared" si="2"/>
        <v>0.29075751666666666</v>
      </c>
      <c r="F45" s="39">
        <f ca="1">(H45/G43)</f>
        <v>2.9802011669424366E-2</v>
      </c>
      <c r="G45" s="1">
        <v>57000000</v>
      </c>
      <c r="H45" s="1">
        <f>16171313+14628172</f>
        <v>30799485</v>
      </c>
    </row>
    <row r="46" spans="1:8" ht="16.5" customHeight="1">
      <c r="A46" s="35" t="s">
        <v>72</v>
      </c>
      <c r="B46" s="36" t="s">
        <v>73</v>
      </c>
      <c r="C46" s="38">
        <v>30000000</v>
      </c>
      <c r="D46" s="38">
        <v>10071400</v>
      </c>
      <c r="E46" s="39">
        <f t="shared" si="2"/>
        <v>0.33571333333333331</v>
      </c>
      <c r="F46" s="39">
        <f>(H46/G44)</f>
        <v>0.14473689956331878</v>
      </c>
      <c r="G46" s="1">
        <v>28000000</v>
      </c>
      <c r="H46" s="1">
        <f>6331500+6926400</f>
        <v>13257900</v>
      </c>
    </row>
    <row r="47" spans="1:8" ht="16.5" customHeight="1">
      <c r="A47" s="35" t="s">
        <v>74</v>
      </c>
      <c r="B47" s="36" t="s">
        <v>75</v>
      </c>
      <c r="C47" s="38">
        <v>4000000</v>
      </c>
      <c r="D47" s="38">
        <v>0</v>
      </c>
      <c r="E47" s="39">
        <f t="shared" si="2"/>
        <v>0</v>
      </c>
      <c r="F47" s="39">
        <v>0</v>
      </c>
    </row>
    <row r="48" spans="1:8" ht="16.5" customHeight="1">
      <c r="A48" s="35" t="s">
        <v>76</v>
      </c>
      <c r="B48" s="36" t="s">
        <v>77</v>
      </c>
      <c r="C48" s="38">
        <v>8000000</v>
      </c>
      <c r="D48" s="38">
        <v>1200000</v>
      </c>
      <c r="E48" s="39">
        <f t="shared" si="2"/>
        <v>0.15</v>
      </c>
      <c r="F48" s="39">
        <f>(H48/G48)</f>
        <v>0.81818181818181823</v>
      </c>
      <c r="G48" s="1">
        <v>6600000</v>
      </c>
      <c r="H48" s="1">
        <f>5400000</f>
        <v>5400000</v>
      </c>
    </row>
    <row r="49" spans="1:8" s="6" customFormat="1" ht="16.5" customHeight="1">
      <c r="A49" s="33" t="s">
        <v>78</v>
      </c>
      <c r="B49" s="34" t="s">
        <v>79</v>
      </c>
      <c r="C49" s="18">
        <f>SUM(C50:C52)</f>
        <v>190000000</v>
      </c>
      <c r="D49" s="18">
        <f>SUM(D50:D52)</f>
        <v>69620450</v>
      </c>
      <c r="E49" s="19">
        <f t="shared" si="2"/>
        <v>0.36642342105263159</v>
      </c>
      <c r="F49" s="19">
        <f t="shared" si="2"/>
        <v>5.2631578947368421E-9</v>
      </c>
      <c r="G49" s="9">
        <f>SUM(G50:G52)</f>
        <v>207000000</v>
      </c>
      <c r="H49" s="9">
        <f>SUM(H50:H52)</f>
        <v>44132000</v>
      </c>
    </row>
    <row r="50" spans="1:8" ht="16.5" customHeight="1">
      <c r="A50" s="35" t="s">
        <v>80</v>
      </c>
      <c r="B50" s="36" t="s">
        <v>81</v>
      </c>
      <c r="C50" s="38">
        <v>60000000</v>
      </c>
      <c r="D50" s="38">
        <v>30015000</v>
      </c>
      <c r="E50" s="39">
        <f t="shared" si="2"/>
        <v>0.50024999999999997</v>
      </c>
      <c r="F50" s="39">
        <f>(H50/G50)</f>
        <v>0.49122727272727273</v>
      </c>
      <c r="G50" s="1">
        <v>66000000</v>
      </c>
      <c r="H50" s="1">
        <f>10005000+22416000</f>
        <v>32421000</v>
      </c>
    </row>
    <row r="51" spans="1:8" ht="16.5" customHeight="1">
      <c r="A51" s="35" t="s">
        <v>82</v>
      </c>
      <c r="B51" s="36" t="s">
        <v>83</v>
      </c>
      <c r="C51" s="38">
        <v>40000000</v>
      </c>
      <c r="D51" s="38">
        <v>2200000</v>
      </c>
      <c r="E51" s="39">
        <f t="shared" si="2"/>
        <v>5.5E-2</v>
      </c>
      <c r="F51" s="39">
        <f>(H51/G51)</f>
        <v>0.32692307692307693</v>
      </c>
      <c r="G51" s="1">
        <v>26000000</v>
      </c>
      <c r="H51" s="1">
        <f>8500000</f>
        <v>8500000</v>
      </c>
    </row>
    <row r="52" spans="1:8" ht="16.5" customHeight="1">
      <c r="A52" s="35" t="s">
        <v>84</v>
      </c>
      <c r="B52" s="36" t="s">
        <v>85</v>
      </c>
      <c r="C52" s="38">
        <v>90000000</v>
      </c>
      <c r="D52" s="38">
        <v>37405450</v>
      </c>
      <c r="E52" s="39">
        <f t="shared" si="2"/>
        <v>0.41561611111111113</v>
      </c>
      <c r="F52" s="39">
        <f>(H52/G52)</f>
        <v>2.7921739130434782E-2</v>
      </c>
      <c r="G52" s="1">
        <v>115000000</v>
      </c>
      <c r="H52" s="1">
        <f>1630000+1581000</f>
        <v>3211000</v>
      </c>
    </row>
    <row r="53" spans="1:8" s="6" customFormat="1" ht="16.5" customHeight="1">
      <c r="A53" s="33" t="s">
        <v>86</v>
      </c>
      <c r="B53" s="34" t="s">
        <v>87</v>
      </c>
      <c r="C53" s="18">
        <f>SUM(C54:C59)</f>
        <v>23200000</v>
      </c>
      <c r="D53" s="18">
        <f>SUM(D54:D59)</f>
        <v>8706717</v>
      </c>
      <c r="E53" s="19">
        <f t="shared" si="2"/>
        <v>0.37528952586206898</v>
      </c>
      <c r="F53" s="53">
        <f>H53/G53</f>
        <v>0.49299793939393938</v>
      </c>
      <c r="G53" s="9">
        <f>SUM(G54:G58)</f>
        <v>16500000</v>
      </c>
      <c r="H53" s="9">
        <f>SUM(H54:H59)</f>
        <v>8134466</v>
      </c>
    </row>
    <row r="54" spans="1:8" ht="16.5" customHeight="1">
      <c r="A54" s="35" t="s">
        <v>88</v>
      </c>
      <c r="B54" s="36" t="s">
        <v>89</v>
      </c>
      <c r="C54" s="38">
        <v>6000000</v>
      </c>
      <c r="D54" s="38">
        <v>1312189</v>
      </c>
      <c r="E54" s="39">
        <f t="shared" si="2"/>
        <v>0.21869816666666667</v>
      </c>
      <c r="F54" s="54">
        <f t="shared" ref="F54:F117" si="6">H54/G54</f>
        <v>0.4504264</v>
      </c>
      <c r="G54" s="1">
        <v>2500000</v>
      </c>
      <c r="H54" s="1">
        <f>419204+706862</f>
        <v>1126066</v>
      </c>
    </row>
    <row r="55" spans="1:8" ht="16.5" customHeight="1">
      <c r="A55" s="35" t="s">
        <v>90</v>
      </c>
      <c r="B55" s="36" t="s">
        <v>91</v>
      </c>
      <c r="C55" s="38">
        <v>6000000</v>
      </c>
      <c r="D55" s="38">
        <v>1279928</v>
      </c>
      <c r="E55" s="39">
        <f t="shared" si="2"/>
        <v>0.21332133333333334</v>
      </c>
      <c r="F55" s="54">
        <f t="shared" si="6"/>
        <v>0.50123529411764711</v>
      </c>
      <c r="G55" s="1">
        <v>6800000</v>
      </c>
      <c r="H55" s="1">
        <f>1715700+1692700</f>
        <v>3408400</v>
      </c>
    </row>
    <row r="56" spans="1:8" ht="16.5" customHeight="1">
      <c r="A56" s="35" t="s">
        <v>92</v>
      </c>
      <c r="B56" s="36" t="s">
        <v>93</v>
      </c>
      <c r="C56" s="38">
        <v>0</v>
      </c>
      <c r="D56" s="38">
        <v>0</v>
      </c>
      <c r="E56" s="39">
        <v>0</v>
      </c>
      <c r="F56" s="54">
        <v>0</v>
      </c>
    </row>
    <row r="57" spans="1:8" ht="16.5" customHeight="1">
      <c r="A57" s="35" t="s">
        <v>94</v>
      </c>
      <c r="B57" s="36" t="s">
        <v>95</v>
      </c>
      <c r="C57" s="38">
        <v>0</v>
      </c>
      <c r="D57" s="38">
        <v>0</v>
      </c>
      <c r="E57" s="39">
        <v>0</v>
      </c>
      <c r="F57" s="54">
        <v>0</v>
      </c>
    </row>
    <row r="58" spans="1:8" ht="16.5" customHeight="1">
      <c r="A58" s="35" t="s">
        <v>96</v>
      </c>
      <c r="B58" s="36" t="s">
        <v>97</v>
      </c>
      <c r="C58" s="38">
        <v>7200000</v>
      </c>
      <c r="D58" s="38">
        <v>3600000</v>
      </c>
      <c r="E58" s="39">
        <f t="shared" si="2"/>
        <v>0.5</v>
      </c>
      <c r="F58" s="54">
        <f t="shared" si="6"/>
        <v>0.5</v>
      </c>
      <c r="G58" s="1">
        <v>7200000</v>
      </c>
      <c r="H58" s="1">
        <f>1800000+1800000</f>
        <v>3600000</v>
      </c>
    </row>
    <row r="59" spans="1:8" ht="16.5" customHeight="1">
      <c r="A59" s="35" t="s">
        <v>94</v>
      </c>
      <c r="B59" s="36" t="s">
        <v>98</v>
      </c>
      <c r="C59" s="38">
        <v>4000000</v>
      </c>
      <c r="D59" s="38">
        <v>2514600</v>
      </c>
      <c r="E59" s="39">
        <f t="shared" si="2"/>
        <v>0.62865000000000004</v>
      </c>
      <c r="F59" s="54">
        <v>0</v>
      </c>
    </row>
    <row r="60" spans="1:8" s="6" customFormat="1" ht="16.5" customHeight="1">
      <c r="A60" s="33" t="s">
        <v>99</v>
      </c>
      <c r="B60" s="34" t="s">
        <v>100</v>
      </c>
      <c r="C60" s="18">
        <f>SUM(C61:C63)</f>
        <v>4684000</v>
      </c>
      <c r="D60" s="18">
        <f>SUM(D61:D63)</f>
        <v>0</v>
      </c>
      <c r="E60" s="19">
        <f t="shared" si="2"/>
        <v>0</v>
      </c>
      <c r="F60" s="54">
        <f t="shared" ca="1" si="6"/>
        <v>0.49299793939393938</v>
      </c>
      <c r="G60" s="9">
        <f ca="1">SUM(G59:G61)</f>
        <v>1000000</v>
      </c>
      <c r="H60" s="9">
        <f>SUM(H61:H63)</f>
        <v>0</v>
      </c>
    </row>
    <row r="61" spans="1:8" ht="16.5" customHeight="1">
      <c r="A61" s="35" t="s">
        <v>101</v>
      </c>
      <c r="B61" s="36" t="s">
        <v>102</v>
      </c>
      <c r="C61" s="38">
        <v>500000</v>
      </c>
      <c r="D61" s="18">
        <v>0</v>
      </c>
      <c r="E61" s="39">
        <v>0</v>
      </c>
      <c r="F61" s="54">
        <f t="shared" si="6"/>
        <v>0</v>
      </c>
      <c r="G61" s="1">
        <v>1000000</v>
      </c>
    </row>
    <row r="62" spans="1:8" ht="16.5" customHeight="1">
      <c r="A62" s="35" t="s">
        <v>103</v>
      </c>
      <c r="B62" s="36" t="s">
        <v>104</v>
      </c>
      <c r="C62" s="38">
        <v>2184000</v>
      </c>
      <c r="D62" s="38">
        <v>0</v>
      </c>
      <c r="E62" s="39">
        <v>0</v>
      </c>
      <c r="F62" s="54">
        <v>0</v>
      </c>
    </row>
    <row r="63" spans="1:8" ht="16.5" customHeight="1">
      <c r="A63" s="35" t="s">
        <v>105</v>
      </c>
      <c r="B63" s="36" t="s">
        <v>106</v>
      </c>
      <c r="C63" s="38">
        <v>2000000</v>
      </c>
      <c r="D63" s="38">
        <v>0</v>
      </c>
      <c r="E63" s="39">
        <f t="shared" si="2"/>
        <v>0</v>
      </c>
      <c r="F63" s="54">
        <v>0</v>
      </c>
    </row>
    <row r="64" spans="1:8" s="6" customFormat="1" ht="16.5" customHeight="1">
      <c r="A64" s="33" t="s">
        <v>107</v>
      </c>
      <c r="B64" s="34" t="s">
        <v>108</v>
      </c>
      <c r="C64" s="18">
        <f>SUM(C65:C69)</f>
        <v>72000000</v>
      </c>
      <c r="D64" s="18">
        <f>SUM(D65:D69)</f>
        <v>39760000</v>
      </c>
      <c r="E64" s="19">
        <f t="shared" si="2"/>
        <v>0.55222222222222217</v>
      </c>
      <c r="F64" s="53">
        <f t="shared" si="6"/>
        <v>0.2490359712230216</v>
      </c>
      <c r="G64" s="9">
        <f>SUM(G65:G69)</f>
        <v>69500000</v>
      </c>
      <c r="H64" s="9">
        <f>SUM(H65:H71)</f>
        <v>17308000</v>
      </c>
    </row>
    <row r="65" spans="1:8" ht="16.5" customHeight="1">
      <c r="A65" s="35" t="s">
        <v>109</v>
      </c>
      <c r="B65" s="36" t="s">
        <v>110</v>
      </c>
      <c r="C65" s="38">
        <v>10000000</v>
      </c>
      <c r="D65" s="38">
        <v>6175000</v>
      </c>
      <c r="E65" s="39">
        <f t="shared" si="2"/>
        <v>0.61750000000000005</v>
      </c>
      <c r="F65" s="54">
        <f t="shared" si="6"/>
        <v>0.2303</v>
      </c>
      <c r="G65" s="1">
        <v>10000000</v>
      </c>
      <c r="H65" s="1">
        <f>1713000+590000</f>
        <v>2303000</v>
      </c>
    </row>
    <row r="66" spans="1:8" ht="16.5" customHeight="1">
      <c r="A66" s="35" t="s">
        <v>111</v>
      </c>
      <c r="B66" s="36" t="s">
        <v>112</v>
      </c>
      <c r="C66" s="38">
        <v>32000000</v>
      </c>
      <c r="D66" s="38">
        <v>14585000</v>
      </c>
      <c r="E66" s="39">
        <f t="shared" si="2"/>
        <v>0.45578125000000003</v>
      </c>
      <c r="F66" s="54">
        <f t="shared" si="6"/>
        <v>0.25177419354838709</v>
      </c>
      <c r="G66" s="1">
        <v>31000000</v>
      </c>
      <c r="H66" s="1">
        <f>5705000+2100000</f>
        <v>7805000</v>
      </c>
    </row>
    <row r="67" spans="1:8" ht="16.5" customHeight="1">
      <c r="A67" s="35" t="s">
        <v>113</v>
      </c>
      <c r="B67" s="36" t="s">
        <v>114</v>
      </c>
      <c r="C67" s="38">
        <v>8000000</v>
      </c>
      <c r="D67" s="38">
        <v>4000000</v>
      </c>
      <c r="E67" s="39">
        <f t="shared" si="2"/>
        <v>0.5</v>
      </c>
      <c r="F67" s="54">
        <f t="shared" si="6"/>
        <v>0</v>
      </c>
      <c r="G67" s="1">
        <v>7000000</v>
      </c>
    </row>
    <row r="68" spans="1:8" ht="16.5" customHeight="1">
      <c r="A68" s="35" t="s">
        <v>115</v>
      </c>
      <c r="B68" s="36" t="s">
        <v>116</v>
      </c>
      <c r="C68" s="38">
        <v>20000000</v>
      </c>
      <c r="D68" s="38">
        <v>15000000</v>
      </c>
      <c r="E68" s="39">
        <f t="shared" si="2"/>
        <v>0.75</v>
      </c>
      <c r="F68" s="54">
        <f t="shared" si="6"/>
        <v>0.36</v>
      </c>
      <c r="G68" s="1">
        <v>20000000</v>
      </c>
      <c r="H68" s="1">
        <f>3600000+3600000</f>
        <v>7200000</v>
      </c>
    </row>
    <row r="69" spans="1:8" ht="16.5" customHeight="1">
      <c r="A69" s="35" t="s">
        <v>117</v>
      </c>
      <c r="B69" s="36" t="s">
        <v>118</v>
      </c>
      <c r="C69" s="38">
        <v>2000000</v>
      </c>
      <c r="D69" s="38">
        <v>0</v>
      </c>
      <c r="E69" s="39">
        <v>0</v>
      </c>
      <c r="F69" s="54">
        <f t="shared" si="6"/>
        <v>0</v>
      </c>
      <c r="G69" s="1">
        <v>1500000</v>
      </c>
    </row>
    <row r="70" spans="1:8" s="6" customFormat="1" ht="16.5" customHeight="1">
      <c r="A70" s="33" t="s">
        <v>119</v>
      </c>
      <c r="B70" s="34" t="s">
        <v>120</v>
      </c>
      <c r="C70" s="18">
        <f>SUM(C71:C73)</f>
        <v>50000000</v>
      </c>
      <c r="D70" s="18">
        <f>SUM(D71:D73)</f>
        <v>0</v>
      </c>
      <c r="E70" s="19">
        <f t="shared" si="2"/>
        <v>0</v>
      </c>
      <c r="F70" s="53">
        <f t="shared" si="6"/>
        <v>0</v>
      </c>
      <c r="G70" s="9">
        <f>SUM(G71:G73)</f>
        <v>30000000</v>
      </c>
      <c r="H70" s="55"/>
    </row>
    <row r="71" spans="1:8" ht="16.5" customHeight="1">
      <c r="A71" s="35" t="s">
        <v>121</v>
      </c>
      <c r="B71" s="36" t="s">
        <v>122</v>
      </c>
      <c r="C71" s="38">
        <v>10000000</v>
      </c>
      <c r="D71" s="38">
        <v>0</v>
      </c>
      <c r="E71" s="39">
        <f t="shared" si="2"/>
        <v>0</v>
      </c>
      <c r="F71" s="54">
        <v>0</v>
      </c>
    </row>
    <row r="72" spans="1:8" ht="16.5" customHeight="1">
      <c r="A72" s="35" t="s">
        <v>123</v>
      </c>
      <c r="B72" s="36" t="s">
        <v>124</v>
      </c>
      <c r="C72" s="38">
        <v>40000000</v>
      </c>
      <c r="D72" s="38">
        <v>0</v>
      </c>
      <c r="E72" s="39">
        <f t="shared" si="2"/>
        <v>0</v>
      </c>
      <c r="F72" s="54">
        <v>0</v>
      </c>
      <c r="H72" s="9">
        <f>SUM(H73:H75)</f>
        <v>750000</v>
      </c>
    </row>
    <row r="73" spans="1:8" ht="23.25" customHeight="1">
      <c r="A73" s="35" t="s">
        <v>125</v>
      </c>
      <c r="B73" s="56" t="s">
        <v>126</v>
      </c>
      <c r="C73" s="38">
        <v>0</v>
      </c>
      <c r="D73" s="38">
        <v>0</v>
      </c>
      <c r="E73" s="39">
        <v>0</v>
      </c>
      <c r="F73" s="54">
        <f t="shared" si="6"/>
        <v>0</v>
      </c>
      <c r="G73" s="1">
        <v>30000000</v>
      </c>
    </row>
    <row r="74" spans="1:8" s="6" customFormat="1" ht="16.5" customHeight="1">
      <c r="A74" s="33" t="s">
        <v>127</v>
      </c>
      <c r="B74" s="34" t="s">
        <v>128</v>
      </c>
      <c r="C74" s="18">
        <f>SUM(C75:C79)</f>
        <v>228000000</v>
      </c>
      <c r="D74" s="18">
        <f>SUM(D75:D79)</f>
        <v>37020000</v>
      </c>
      <c r="E74" s="19">
        <f t="shared" si="2"/>
        <v>0.16236842105263158</v>
      </c>
      <c r="F74" s="53">
        <f t="shared" si="6"/>
        <v>6.0483870967741934E-3</v>
      </c>
      <c r="G74" s="9">
        <f>SUM(G75:G79)</f>
        <v>124000000</v>
      </c>
      <c r="H74" s="9">
        <f>SUM(H75:H79)</f>
        <v>750000</v>
      </c>
    </row>
    <row r="75" spans="1:8" ht="16.5" customHeight="1">
      <c r="A75" s="57" t="s">
        <v>129</v>
      </c>
      <c r="B75" s="58" t="s">
        <v>130</v>
      </c>
      <c r="C75" s="38">
        <v>40000000</v>
      </c>
      <c r="D75" s="38">
        <v>0</v>
      </c>
      <c r="E75" s="39">
        <f t="shared" si="2"/>
        <v>0</v>
      </c>
      <c r="F75" s="54">
        <f t="shared" si="6"/>
        <v>0</v>
      </c>
      <c r="G75" s="1">
        <v>15000000</v>
      </c>
    </row>
    <row r="76" spans="1:8" ht="16.5" customHeight="1">
      <c r="A76" s="59">
        <v>6912</v>
      </c>
      <c r="B76" s="58" t="s">
        <v>131</v>
      </c>
      <c r="C76" s="38">
        <v>20000000</v>
      </c>
      <c r="D76" s="38">
        <v>17250000</v>
      </c>
      <c r="E76" s="39">
        <f t="shared" si="2"/>
        <v>0.86250000000000004</v>
      </c>
      <c r="F76" s="54">
        <f t="shared" si="6"/>
        <v>7.4999999999999997E-2</v>
      </c>
      <c r="G76" s="1">
        <v>10000000</v>
      </c>
      <c r="H76" s="1">
        <v>750000</v>
      </c>
    </row>
    <row r="77" spans="1:8" ht="16.5" customHeight="1">
      <c r="A77" s="60">
        <v>6913</v>
      </c>
      <c r="B77" s="61" t="s">
        <v>132</v>
      </c>
      <c r="C77" s="38">
        <v>60000000</v>
      </c>
      <c r="D77" s="38">
        <v>12720000</v>
      </c>
      <c r="E77" s="39">
        <f t="shared" si="2"/>
        <v>0.21199999999999999</v>
      </c>
      <c r="F77" s="54">
        <f t="shared" si="6"/>
        <v>0</v>
      </c>
      <c r="G77" s="1">
        <f>12000000+15000000+8000000+7000000+8000000</f>
        <v>50000000</v>
      </c>
    </row>
    <row r="78" spans="1:8" ht="16.5" customHeight="1">
      <c r="A78" s="59">
        <v>6921</v>
      </c>
      <c r="B78" s="58" t="s">
        <v>133</v>
      </c>
      <c r="C78" s="38">
        <v>48000000</v>
      </c>
      <c r="D78" s="38">
        <v>0</v>
      </c>
      <c r="E78" s="39">
        <f t="shared" si="2"/>
        <v>0</v>
      </c>
      <c r="F78" s="54">
        <f t="shared" si="6"/>
        <v>0</v>
      </c>
      <c r="G78" s="1">
        <v>27000000</v>
      </c>
    </row>
    <row r="79" spans="1:8" ht="16.5" customHeight="1">
      <c r="A79" s="59">
        <v>6949</v>
      </c>
      <c r="B79" s="58" t="s">
        <v>134</v>
      </c>
      <c r="C79" s="38">
        <v>60000000</v>
      </c>
      <c r="D79" s="38">
        <v>7050000</v>
      </c>
      <c r="E79" s="39">
        <f t="shared" si="2"/>
        <v>0.11749999999999999</v>
      </c>
      <c r="F79" s="54">
        <f t="shared" si="6"/>
        <v>0</v>
      </c>
      <c r="G79" s="1">
        <v>22000000</v>
      </c>
    </row>
    <row r="80" spans="1:8" s="6" customFormat="1" ht="17.25" customHeight="1">
      <c r="A80" s="62">
        <v>6950</v>
      </c>
      <c r="B80" s="63" t="s">
        <v>135</v>
      </c>
      <c r="C80" s="18">
        <f>SUM(C81:C82)</f>
        <v>350000000</v>
      </c>
      <c r="D80" s="18">
        <f>SUM(D81:D82)</f>
        <v>0</v>
      </c>
      <c r="E80" s="19">
        <f>D80/C80</f>
        <v>0</v>
      </c>
      <c r="F80" s="53">
        <v>0</v>
      </c>
      <c r="G80" s="9"/>
      <c r="H80" s="9"/>
    </row>
    <row r="81" spans="1:8" ht="17.25" customHeight="1">
      <c r="A81" s="64">
        <v>6999</v>
      </c>
      <c r="B81" s="65" t="s">
        <v>136</v>
      </c>
      <c r="C81" s="38">
        <v>250000000</v>
      </c>
      <c r="D81" s="38">
        <v>0</v>
      </c>
      <c r="E81" s="39">
        <v>0</v>
      </c>
      <c r="F81" s="54">
        <v>0</v>
      </c>
    </row>
    <row r="82" spans="1:8" ht="17.25" customHeight="1">
      <c r="A82" s="64">
        <v>6999</v>
      </c>
      <c r="B82" s="65" t="s">
        <v>137</v>
      </c>
      <c r="C82" s="38">
        <v>100000000</v>
      </c>
      <c r="D82" s="38">
        <v>0</v>
      </c>
      <c r="E82" s="39">
        <v>0</v>
      </c>
      <c r="F82" s="54">
        <v>0</v>
      </c>
    </row>
    <row r="83" spans="1:8" s="6" customFormat="1" ht="16.5" customHeight="1">
      <c r="A83" s="33" t="s">
        <v>138</v>
      </c>
      <c r="B83" s="34" t="s">
        <v>139</v>
      </c>
      <c r="C83" s="18">
        <f>SUM(C84:C91)</f>
        <v>339405050</v>
      </c>
      <c r="D83" s="18">
        <f>SUM(D84:D91)</f>
        <v>117827000</v>
      </c>
      <c r="E83" s="19">
        <f t="shared" si="2"/>
        <v>0.34715747452785395</v>
      </c>
      <c r="F83" s="53">
        <f t="shared" si="6"/>
        <v>0.12781298722335838</v>
      </c>
      <c r="G83" s="9">
        <f>SUM(G84:G91)</f>
        <v>493870000</v>
      </c>
      <c r="H83" s="9">
        <f>SUM(H84:H91)</f>
        <v>63123000</v>
      </c>
    </row>
    <row r="84" spans="1:8" ht="16.5" customHeight="1">
      <c r="A84" s="57" t="s">
        <v>140</v>
      </c>
      <c r="B84" s="66" t="s">
        <v>141</v>
      </c>
      <c r="C84" s="38">
        <v>24000000</v>
      </c>
      <c r="D84" s="38">
        <v>27565000</v>
      </c>
      <c r="E84" s="39">
        <f t="shared" ref="E84:E131" si="7">(D84/C84)</f>
        <v>1.1485416666666666</v>
      </c>
      <c r="F84" s="54">
        <f t="shared" si="6"/>
        <v>0</v>
      </c>
      <c r="G84" s="1">
        <f>65230000+30000000</f>
        <v>95230000</v>
      </c>
    </row>
    <row r="85" spans="1:8" ht="16.5" customHeight="1">
      <c r="A85" s="67" t="s">
        <v>142</v>
      </c>
      <c r="B85" s="68" t="s">
        <v>143</v>
      </c>
      <c r="C85" s="38">
        <v>3640000</v>
      </c>
      <c r="D85" s="38"/>
      <c r="E85" s="39">
        <f t="shared" si="7"/>
        <v>0</v>
      </c>
      <c r="F85" s="54">
        <f t="shared" si="6"/>
        <v>0</v>
      </c>
      <c r="G85" s="1">
        <v>3640000</v>
      </c>
    </row>
    <row r="86" spans="1:8" ht="16.5" customHeight="1">
      <c r="A86" s="69" t="s">
        <v>144</v>
      </c>
      <c r="B86" s="70" t="s">
        <v>145</v>
      </c>
      <c r="C86" s="38">
        <v>32000000</v>
      </c>
      <c r="D86" s="38"/>
      <c r="E86" s="39">
        <f t="shared" si="7"/>
        <v>0</v>
      </c>
      <c r="F86" s="54">
        <f t="shared" si="6"/>
        <v>0</v>
      </c>
      <c r="G86" s="1">
        <f>50000000</f>
        <v>50000000</v>
      </c>
      <c r="H86" s="9"/>
    </row>
    <row r="87" spans="1:8" ht="16.5" customHeight="1">
      <c r="A87" s="57" t="s">
        <v>146</v>
      </c>
      <c r="B87" s="71" t="s">
        <v>147</v>
      </c>
      <c r="C87" s="38">
        <v>60000000</v>
      </c>
      <c r="D87" s="38"/>
      <c r="E87" s="39">
        <f t="shared" si="7"/>
        <v>0</v>
      </c>
      <c r="F87" s="54">
        <f t="shared" si="6"/>
        <v>0</v>
      </c>
      <c r="G87" s="1">
        <v>60000000</v>
      </c>
    </row>
    <row r="88" spans="1:8" ht="16.5" customHeight="1">
      <c r="A88" s="57" t="s">
        <v>146</v>
      </c>
      <c r="B88" s="72" t="s">
        <v>148</v>
      </c>
      <c r="C88" s="38">
        <v>179765050</v>
      </c>
      <c r="D88" s="38">
        <v>90262000</v>
      </c>
      <c r="E88" s="39">
        <f t="shared" si="7"/>
        <v>0.50211094982033488</v>
      </c>
      <c r="F88" s="54">
        <f t="shared" si="6"/>
        <v>0</v>
      </c>
      <c r="G88" s="1">
        <v>150000000</v>
      </c>
    </row>
    <row r="89" spans="1:8" ht="16.5" customHeight="1">
      <c r="A89" s="67" t="s">
        <v>146</v>
      </c>
      <c r="B89" s="68" t="s">
        <v>149</v>
      </c>
      <c r="C89" s="38">
        <v>20000000</v>
      </c>
      <c r="D89" s="38"/>
      <c r="E89" s="39">
        <v>0</v>
      </c>
      <c r="F89" s="54">
        <f t="shared" si="6"/>
        <v>0</v>
      </c>
      <c r="G89" s="1">
        <v>105000000</v>
      </c>
    </row>
    <row r="90" spans="1:8" ht="16.5" customHeight="1">
      <c r="A90" s="57" t="s">
        <v>146</v>
      </c>
      <c r="B90" s="68" t="s">
        <v>150</v>
      </c>
      <c r="C90" s="38">
        <v>10000000</v>
      </c>
      <c r="D90" s="38"/>
      <c r="E90" s="39">
        <v>0</v>
      </c>
      <c r="F90" s="54">
        <f t="shared" si="6"/>
        <v>0</v>
      </c>
      <c r="G90" s="1">
        <v>15000000</v>
      </c>
    </row>
    <row r="91" spans="1:8" ht="16.5" customHeight="1">
      <c r="A91" s="57" t="s">
        <v>146</v>
      </c>
      <c r="B91" s="68" t="s">
        <v>151</v>
      </c>
      <c r="C91" s="38">
        <v>10000000</v>
      </c>
      <c r="D91" s="38"/>
      <c r="E91" s="39">
        <f t="shared" si="7"/>
        <v>0</v>
      </c>
      <c r="F91" s="54">
        <f t="shared" si="6"/>
        <v>4.2081999999999997</v>
      </c>
      <c r="G91" s="1">
        <v>15000000</v>
      </c>
      <c r="H91" s="1">
        <f>14561000+48562000</f>
        <v>63123000</v>
      </c>
    </row>
    <row r="92" spans="1:8" s="32" customFormat="1" ht="16.5" customHeight="1">
      <c r="A92" s="73" t="s">
        <v>152</v>
      </c>
      <c r="B92" s="74"/>
      <c r="C92" s="29">
        <f>C93</f>
        <v>314840000</v>
      </c>
      <c r="D92" s="29">
        <f>D93</f>
        <v>24364652</v>
      </c>
      <c r="E92" s="52">
        <f t="shared" si="7"/>
        <v>7.7387409477830002E-2</v>
      </c>
      <c r="F92" s="75">
        <f t="shared" si="6"/>
        <v>3.5281012751291516E-2</v>
      </c>
      <c r="G92" s="31">
        <f>G93</f>
        <v>494883753</v>
      </c>
      <c r="H92" s="31">
        <f>H93</f>
        <v>17460000</v>
      </c>
    </row>
    <row r="93" spans="1:8" s="6" customFormat="1" ht="16.5" customHeight="1">
      <c r="A93" s="47" t="s">
        <v>153</v>
      </c>
      <c r="B93" s="48" t="s">
        <v>106</v>
      </c>
      <c r="C93" s="18">
        <f>SUM(C94:C99)</f>
        <v>314840000</v>
      </c>
      <c r="D93" s="18">
        <f>SUM(D94:D98)</f>
        <v>24364652</v>
      </c>
      <c r="E93" s="19">
        <f t="shared" si="7"/>
        <v>7.7387409477830002E-2</v>
      </c>
      <c r="F93" s="53">
        <f t="shared" si="6"/>
        <v>3.5281012751291516E-2</v>
      </c>
      <c r="G93" s="9">
        <f>SUM(G94:G99)</f>
        <v>494883753</v>
      </c>
      <c r="H93" s="9">
        <f>SUM(H95:H100)</f>
        <v>17460000</v>
      </c>
    </row>
    <row r="94" spans="1:8" ht="16.5" customHeight="1">
      <c r="A94" s="35" t="s">
        <v>154</v>
      </c>
      <c r="B94" s="36" t="s">
        <v>155</v>
      </c>
      <c r="C94" s="38">
        <v>0</v>
      </c>
      <c r="D94" s="38">
        <v>5749652</v>
      </c>
      <c r="E94" s="39">
        <v>0</v>
      </c>
      <c r="F94" s="54">
        <v>0</v>
      </c>
    </row>
    <row r="95" spans="1:8" ht="16.5" customHeight="1">
      <c r="A95" s="67" t="s">
        <v>156</v>
      </c>
      <c r="B95" s="76" t="s">
        <v>157</v>
      </c>
      <c r="C95" s="38">
        <v>4000000</v>
      </c>
      <c r="D95" s="38"/>
      <c r="E95" s="39">
        <v>0</v>
      </c>
      <c r="F95" s="54">
        <v>0</v>
      </c>
    </row>
    <row r="96" spans="1:8" ht="16.5" customHeight="1">
      <c r="A96" s="69" t="s">
        <v>158</v>
      </c>
      <c r="B96" s="70" t="s">
        <v>159</v>
      </c>
      <c r="C96" s="38">
        <v>80000000</v>
      </c>
      <c r="D96" s="38">
        <v>18615000</v>
      </c>
      <c r="E96" s="39">
        <v>0</v>
      </c>
      <c r="F96" s="54">
        <f t="shared" si="6"/>
        <v>6.8587926577276692E-2</v>
      </c>
      <c r="G96" s="1">
        <v>254563753</v>
      </c>
      <c r="H96" s="1">
        <f>17460000</f>
        <v>17460000</v>
      </c>
    </row>
    <row r="97" spans="1:8" ht="16.5" customHeight="1">
      <c r="A97" s="67" t="s">
        <v>158</v>
      </c>
      <c r="B97" s="68" t="s">
        <v>160</v>
      </c>
      <c r="C97" s="38">
        <v>198840000</v>
      </c>
      <c r="D97" s="38"/>
      <c r="E97" s="39">
        <f t="shared" si="7"/>
        <v>0</v>
      </c>
      <c r="F97" s="54">
        <f t="shared" si="6"/>
        <v>0</v>
      </c>
      <c r="G97" s="1">
        <v>198320000</v>
      </c>
    </row>
    <row r="98" spans="1:8" ht="16.5" customHeight="1">
      <c r="A98" s="67" t="s">
        <v>161</v>
      </c>
      <c r="B98" s="68" t="s">
        <v>162</v>
      </c>
      <c r="C98" s="38">
        <v>2000000</v>
      </c>
      <c r="D98" s="38"/>
      <c r="E98" s="39">
        <f t="shared" si="7"/>
        <v>0</v>
      </c>
      <c r="F98" s="54">
        <f t="shared" si="6"/>
        <v>0</v>
      </c>
      <c r="G98" s="1">
        <v>2000000</v>
      </c>
    </row>
    <row r="99" spans="1:8" ht="16.5" customHeight="1">
      <c r="A99" s="67" t="s">
        <v>161</v>
      </c>
      <c r="B99" s="68" t="s">
        <v>163</v>
      </c>
      <c r="C99" s="38">
        <v>30000000</v>
      </c>
      <c r="D99" s="38"/>
      <c r="E99" s="39"/>
      <c r="F99" s="54">
        <f t="shared" si="6"/>
        <v>0</v>
      </c>
      <c r="G99" s="1">
        <v>40000000</v>
      </c>
    </row>
    <row r="100" spans="1:8" s="32" customFormat="1" ht="16.5" customHeight="1">
      <c r="A100" s="73" t="s">
        <v>164</v>
      </c>
      <c r="B100" s="50"/>
      <c r="C100" s="18">
        <f>C101</f>
        <v>0</v>
      </c>
      <c r="D100" s="51"/>
      <c r="E100" s="52">
        <v>0</v>
      </c>
      <c r="F100" s="75">
        <f t="shared" si="6"/>
        <v>0</v>
      </c>
      <c r="G100" s="31">
        <f>G101+G103</f>
        <v>142500000</v>
      </c>
      <c r="H100" s="1"/>
    </row>
    <row r="101" spans="1:8" s="6" customFormat="1" ht="16.5" customHeight="1">
      <c r="A101" s="47" t="s">
        <v>165</v>
      </c>
      <c r="B101" s="48" t="s">
        <v>166</v>
      </c>
      <c r="C101" s="38">
        <v>0</v>
      </c>
      <c r="D101" s="18"/>
      <c r="E101" s="19">
        <v>0</v>
      </c>
      <c r="F101" s="54">
        <f t="shared" si="6"/>
        <v>0</v>
      </c>
      <c r="G101" s="13">
        <v>24000000</v>
      </c>
      <c r="H101" s="31">
        <f>H102</f>
        <v>0</v>
      </c>
    </row>
    <row r="102" spans="1:8" ht="16.5" customHeight="1">
      <c r="A102" s="35" t="s">
        <v>167</v>
      </c>
      <c r="B102" s="36" t="s">
        <v>168</v>
      </c>
      <c r="C102" s="18">
        <f>C103</f>
        <v>0</v>
      </c>
      <c r="D102" s="38"/>
      <c r="E102" s="39">
        <v>0</v>
      </c>
      <c r="F102" s="54">
        <f t="shared" si="6"/>
        <v>0</v>
      </c>
      <c r="G102" s="1">
        <v>24000000</v>
      </c>
      <c r="H102" s="9">
        <f>SUM(H103:H107)</f>
        <v>0</v>
      </c>
    </row>
    <row r="103" spans="1:8" s="6" customFormat="1" ht="16.5" customHeight="1">
      <c r="A103" s="47" t="s">
        <v>169</v>
      </c>
      <c r="B103" s="48" t="s">
        <v>170</v>
      </c>
      <c r="C103" s="38">
        <v>0</v>
      </c>
      <c r="D103" s="18"/>
      <c r="E103" s="19">
        <v>0</v>
      </c>
      <c r="F103" s="54">
        <f t="shared" si="6"/>
        <v>0</v>
      </c>
      <c r="G103" s="9">
        <v>118500000</v>
      </c>
      <c r="H103" s="1"/>
    </row>
    <row r="104" spans="1:8" ht="16.5" customHeight="1">
      <c r="A104" s="35" t="s">
        <v>171</v>
      </c>
      <c r="B104" s="36" t="s">
        <v>168</v>
      </c>
      <c r="C104" s="23">
        <v>0</v>
      </c>
      <c r="D104" s="38"/>
      <c r="E104" s="39">
        <v>0</v>
      </c>
      <c r="F104" s="54">
        <f t="shared" si="6"/>
        <v>0</v>
      </c>
      <c r="G104" s="1">
        <v>118500000</v>
      </c>
    </row>
    <row r="105" spans="1:8" s="26" customFormat="1" ht="16.5" customHeight="1">
      <c r="A105" s="77" t="s">
        <v>172</v>
      </c>
      <c r="B105" s="78"/>
      <c r="C105" s="23">
        <f>C106+C117+C126+C137</f>
        <v>1257657000</v>
      </c>
      <c r="D105" s="23">
        <f>D106+D117+D126+D137</f>
        <v>210198200</v>
      </c>
      <c r="E105" s="24">
        <f t="shared" si="7"/>
        <v>0.1671347593183197</v>
      </c>
      <c r="F105" s="53">
        <f t="shared" si="6"/>
        <v>0</v>
      </c>
      <c r="G105" s="25">
        <f>G106+G117+G126</f>
        <v>1023329057</v>
      </c>
      <c r="H105" s="1"/>
    </row>
    <row r="106" spans="1:8" s="32" customFormat="1" ht="16.5" customHeight="1">
      <c r="A106" s="27" t="s">
        <v>20</v>
      </c>
      <c r="B106" s="74"/>
      <c r="C106" s="51">
        <f>C107+C109+C111</f>
        <v>382557000</v>
      </c>
      <c r="D106" s="51">
        <f>D107+D109+D111</f>
        <v>72526200</v>
      </c>
      <c r="E106" s="52">
        <f t="shared" si="7"/>
        <v>0.18958272884825006</v>
      </c>
      <c r="F106" s="75">
        <f t="shared" si="6"/>
        <v>0</v>
      </c>
      <c r="G106" s="31">
        <f>G107+G109+G111</f>
        <v>416200000</v>
      </c>
      <c r="H106" s="1"/>
    </row>
    <row r="107" spans="1:8" s="6" customFormat="1" ht="16.5" customHeight="1">
      <c r="A107" s="33" t="s">
        <v>21</v>
      </c>
      <c r="B107" s="34" t="s">
        <v>22</v>
      </c>
      <c r="C107" s="18">
        <f>SUM(C108)</f>
        <v>201344000</v>
      </c>
      <c r="D107" s="18">
        <f>SUM(D108)</f>
        <v>0</v>
      </c>
      <c r="E107" s="19">
        <v>0</v>
      </c>
      <c r="F107" s="53">
        <f t="shared" si="6"/>
        <v>0</v>
      </c>
      <c r="G107" s="9">
        <f>G108</f>
        <v>210000000</v>
      </c>
      <c r="H107" s="1"/>
    </row>
    <row r="108" spans="1:8" ht="16.5" customHeight="1">
      <c r="A108" s="35" t="s">
        <v>173</v>
      </c>
      <c r="B108" s="36" t="s">
        <v>174</v>
      </c>
      <c r="C108" s="38">
        <v>201344000</v>
      </c>
      <c r="D108" s="38">
        <v>0</v>
      </c>
      <c r="E108" s="39">
        <v>0</v>
      </c>
      <c r="F108" s="54">
        <f t="shared" si="6"/>
        <v>0</v>
      </c>
      <c r="G108" s="1">
        <v>210000000</v>
      </c>
      <c r="H108" s="31"/>
    </row>
    <row r="109" spans="1:8" ht="16.5" customHeight="1">
      <c r="A109" s="33" t="s">
        <v>31</v>
      </c>
      <c r="B109" s="34" t="s">
        <v>32</v>
      </c>
      <c r="C109" s="38">
        <f>C110</f>
        <v>0</v>
      </c>
      <c r="D109" s="38">
        <f>D110</f>
        <v>0</v>
      </c>
      <c r="E109" s="19">
        <v>0</v>
      </c>
      <c r="F109" s="53">
        <v>0</v>
      </c>
      <c r="G109" s="1">
        <f>G110</f>
        <v>0</v>
      </c>
      <c r="H109" s="9">
        <f>H110</f>
        <v>0</v>
      </c>
    </row>
    <row r="110" spans="1:8" ht="16.5" customHeight="1">
      <c r="A110" s="79" t="s">
        <v>175</v>
      </c>
      <c r="B110" s="80" t="s">
        <v>176</v>
      </c>
      <c r="C110" s="38">
        <v>0</v>
      </c>
      <c r="D110" s="38">
        <v>0</v>
      </c>
      <c r="E110" s="39">
        <v>0</v>
      </c>
      <c r="F110" s="54">
        <v>0</v>
      </c>
    </row>
    <row r="111" spans="1:8" s="6" customFormat="1" ht="16.5" customHeight="1">
      <c r="A111" s="33" t="s">
        <v>63</v>
      </c>
      <c r="B111" s="34" t="s">
        <v>64</v>
      </c>
      <c r="C111" s="18">
        <f>SUM(C112:C116)</f>
        <v>181213000</v>
      </c>
      <c r="D111" s="18">
        <f>SUM(D112:D116)</f>
        <v>72526200</v>
      </c>
      <c r="E111" s="39">
        <f t="shared" si="7"/>
        <v>0.40022625308338805</v>
      </c>
      <c r="F111" s="53">
        <f t="shared" si="6"/>
        <v>0.39472463627546073</v>
      </c>
      <c r="G111" s="9">
        <f>SUM(G112:G116)</f>
        <v>206200000</v>
      </c>
      <c r="H111" s="9">
        <f>SUM(H112:H116)</f>
        <v>81392220</v>
      </c>
    </row>
    <row r="112" spans="1:8" ht="16.5" customHeight="1">
      <c r="A112" s="57" t="s">
        <v>177</v>
      </c>
      <c r="B112" s="66" t="s">
        <v>178</v>
      </c>
      <c r="C112" s="38">
        <v>3120000</v>
      </c>
      <c r="D112" s="38">
        <v>1560000</v>
      </c>
      <c r="E112" s="39">
        <f t="shared" si="7"/>
        <v>0.5</v>
      </c>
      <c r="F112" s="54">
        <f t="shared" si="6"/>
        <v>0.32526881720430106</v>
      </c>
      <c r="G112" s="1">
        <v>4464000</v>
      </c>
      <c r="H112" s="1">
        <f>726000+726000</f>
        <v>1452000</v>
      </c>
    </row>
    <row r="113" spans="1:8" s="32" customFormat="1" ht="16.5" customHeight="1">
      <c r="A113" s="57" t="s">
        <v>177</v>
      </c>
      <c r="B113" s="66" t="s">
        <v>179</v>
      </c>
      <c r="C113" s="38">
        <v>21600000</v>
      </c>
      <c r="D113" s="38">
        <v>10800000</v>
      </c>
      <c r="E113" s="39">
        <f t="shared" si="7"/>
        <v>0.5</v>
      </c>
      <c r="F113" s="54">
        <f t="shared" si="6"/>
        <v>0.46351931330472101</v>
      </c>
      <c r="G113" s="1">
        <v>23300000</v>
      </c>
      <c r="H113" s="1">
        <f>5400000+5400000</f>
        <v>10800000</v>
      </c>
    </row>
    <row r="114" spans="1:8" s="6" customFormat="1" ht="16.5" customHeight="1">
      <c r="A114" s="57" t="s">
        <v>177</v>
      </c>
      <c r="B114" s="66" t="s">
        <v>180</v>
      </c>
      <c r="C114" s="38">
        <v>145813000</v>
      </c>
      <c r="D114" s="38">
        <v>51657900</v>
      </c>
      <c r="E114" s="39">
        <f t="shared" si="7"/>
        <v>0.35427499605659302</v>
      </c>
      <c r="F114" s="54">
        <f t="shared" si="6"/>
        <v>0.32723175159634404</v>
      </c>
      <c r="G114" s="1">
        <v>159740000</v>
      </c>
      <c r="H114" s="1">
        <f>26136000+26136000</f>
        <v>52272000</v>
      </c>
    </row>
    <row r="115" spans="1:8" ht="16.5" customHeight="1">
      <c r="A115" s="57" t="s">
        <v>177</v>
      </c>
      <c r="B115" s="66" t="s">
        <v>181</v>
      </c>
      <c r="C115" s="38">
        <v>6000000</v>
      </c>
      <c r="D115" s="38">
        <v>1500000</v>
      </c>
      <c r="E115" s="39">
        <f t="shared" si="7"/>
        <v>0.25</v>
      </c>
      <c r="F115" s="54">
        <f t="shared" si="6"/>
        <v>0.5</v>
      </c>
      <c r="G115" s="1">
        <v>12000000</v>
      </c>
      <c r="H115" s="1">
        <f>3000000+3000000</f>
        <v>6000000</v>
      </c>
    </row>
    <row r="116" spans="1:8" s="6" customFormat="1" ht="16.5" customHeight="1">
      <c r="A116" s="64">
        <v>6449</v>
      </c>
      <c r="B116" s="76" t="s">
        <v>182</v>
      </c>
      <c r="C116" s="38">
        <v>4680000</v>
      </c>
      <c r="D116" s="38">
        <v>7008300</v>
      </c>
      <c r="E116" s="39">
        <f t="shared" si="7"/>
        <v>1.4975000000000001</v>
      </c>
      <c r="F116" s="54">
        <f t="shared" si="6"/>
        <v>1.6230913978494623</v>
      </c>
      <c r="G116" s="1">
        <v>6696000</v>
      </c>
      <c r="H116" s="1">
        <f>5434110+5434110</f>
        <v>10868220</v>
      </c>
    </row>
    <row r="117" spans="1:8" ht="16.5" customHeight="1">
      <c r="A117" s="49" t="s">
        <v>67</v>
      </c>
      <c r="B117" s="74"/>
      <c r="C117" s="51">
        <f>C118+C123</f>
        <v>61800000</v>
      </c>
      <c r="D117" s="51">
        <f>D118+D123</f>
        <v>10892000</v>
      </c>
      <c r="E117" s="52">
        <f t="shared" si="7"/>
        <v>0.17624595469255663</v>
      </c>
      <c r="F117" s="75">
        <f t="shared" si="6"/>
        <v>0.30921180772379081</v>
      </c>
      <c r="G117" s="31">
        <f>G118+G121+G123</f>
        <v>299429057</v>
      </c>
      <c r="H117" s="31">
        <f>H118+H121+H123</f>
        <v>92587000</v>
      </c>
    </row>
    <row r="118" spans="1:8" s="6" customFormat="1" ht="16.5" customHeight="1">
      <c r="A118" s="33" t="s">
        <v>119</v>
      </c>
      <c r="B118" s="81" t="s">
        <v>120</v>
      </c>
      <c r="C118" s="18">
        <f>SUM(C119:C120)</f>
        <v>60000000</v>
      </c>
      <c r="D118" s="18">
        <f>SUM(D119:D120)</f>
        <v>10892000</v>
      </c>
      <c r="E118" s="19">
        <f t="shared" si="7"/>
        <v>0.18153333333333332</v>
      </c>
      <c r="F118" s="53">
        <f t="shared" ref="F118:F138" si="8">H118/G118</f>
        <v>0.17013333333333333</v>
      </c>
      <c r="G118" s="9">
        <f>SUM(G119:G120)</f>
        <v>60000000</v>
      </c>
      <c r="H118" s="9">
        <f>SUM(H119:H120)</f>
        <v>10208000</v>
      </c>
    </row>
    <row r="119" spans="1:8" ht="16.5" customHeight="1">
      <c r="A119" s="35" t="s">
        <v>183</v>
      </c>
      <c r="B119" s="36" t="s">
        <v>184</v>
      </c>
      <c r="C119" s="38">
        <v>40000000</v>
      </c>
      <c r="D119" s="38">
        <v>10892000</v>
      </c>
      <c r="E119" s="39">
        <f t="shared" si="7"/>
        <v>0.27229999999999999</v>
      </c>
      <c r="F119" s="54">
        <f t="shared" si="8"/>
        <v>0.25519999999999998</v>
      </c>
      <c r="G119" s="1">
        <v>40000000</v>
      </c>
      <c r="H119" s="1">
        <f>9258000+950000</f>
        <v>10208000</v>
      </c>
    </row>
    <row r="120" spans="1:8" s="82" customFormat="1" ht="16.5" customHeight="1">
      <c r="A120" s="35" t="s">
        <v>183</v>
      </c>
      <c r="B120" s="36" t="s">
        <v>185</v>
      </c>
      <c r="C120" s="38">
        <v>20000000</v>
      </c>
      <c r="D120" s="38">
        <v>0</v>
      </c>
      <c r="E120" s="39">
        <f t="shared" si="7"/>
        <v>0</v>
      </c>
      <c r="F120" s="54">
        <f t="shared" si="8"/>
        <v>0</v>
      </c>
      <c r="G120" s="1">
        <v>20000000</v>
      </c>
      <c r="H120" s="1"/>
    </row>
    <row r="121" spans="1:8" s="32" customFormat="1" ht="16.5" customHeight="1">
      <c r="A121" s="47" t="s">
        <v>127</v>
      </c>
      <c r="B121" s="48" t="s">
        <v>186</v>
      </c>
      <c r="C121" s="18">
        <v>0</v>
      </c>
      <c r="D121" s="18">
        <v>0</v>
      </c>
      <c r="E121" s="19">
        <v>0</v>
      </c>
      <c r="F121" s="53">
        <f t="shared" si="8"/>
        <v>0.54919333333333331</v>
      </c>
      <c r="G121" s="9">
        <f>G122</f>
        <v>150000000</v>
      </c>
      <c r="H121" s="9">
        <f>H122</f>
        <v>82379000</v>
      </c>
    </row>
    <row r="122" spans="1:8" s="6" customFormat="1" ht="16.5" customHeight="1">
      <c r="A122" s="35" t="s">
        <v>187</v>
      </c>
      <c r="B122" s="36" t="s">
        <v>188</v>
      </c>
      <c r="C122" s="38">
        <v>0</v>
      </c>
      <c r="D122" s="38">
        <v>0</v>
      </c>
      <c r="E122" s="39">
        <v>0</v>
      </c>
      <c r="F122" s="54">
        <f t="shared" si="8"/>
        <v>0.54919333333333331</v>
      </c>
      <c r="G122" s="1">
        <v>150000000</v>
      </c>
      <c r="H122" s="1">
        <f>82379000</f>
        <v>82379000</v>
      </c>
    </row>
    <row r="123" spans="1:8" ht="16.5" customHeight="1">
      <c r="A123" s="33" t="s">
        <v>138</v>
      </c>
      <c r="B123" s="81" t="s">
        <v>139</v>
      </c>
      <c r="C123" s="18">
        <f>SUM(C124:C125)</f>
        <v>1800000</v>
      </c>
      <c r="D123" s="18">
        <f>SUM(D124:D125)</f>
        <v>0</v>
      </c>
      <c r="E123" s="19">
        <f t="shared" si="7"/>
        <v>0</v>
      </c>
      <c r="F123" s="53">
        <f t="shared" si="8"/>
        <v>0</v>
      </c>
      <c r="G123" s="9">
        <f>SUM(G124:G125)</f>
        <v>89429057</v>
      </c>
      <c r="H123" s="9">
        <f>SUM(H124:H125)</f>
        <v>0</v>
      </c>
    </row>
    <row r="124" spans="1:8" ht="16.5" customHeight="1">
      <c r="A124" s="79" t="s">
        <v>142</v>
      </c>
      <c r="B124" s="80" t="s">
        <v>189</v>
      </c>
      <c r="C124" s="38">
        <v>1800000</v>
      </c>
      <c r="D124" s="38">
        <v>0</v>
      </c>
      <c r="E124" s="39">
        <v>0</v>
      </c>
      <c r="F124" s="54">
        <f t="shared" si="8"/>
        <v>0</v>
      </c>
      <c r="G124" s="1">
        <v>1800000</v>
      </c>
      <c r="H124" s="9"/>
    </row>
    <row r="125" spans="1:8" ht="16.5" customHeight="1">
      <c r="A125" s="35" t="s">
        <v>146</v>
      </c>
      <c r="B125" s="36" t="s">
        <v>190</v>
      </c>
      <c r="C125" s="38">
        <v>0</v>
      </c>
      <c r="D125" s="38">
        <v>0</v>
      </c>
      <c r="E125" s="39">
        <v>0</v>
      </c>
      <c r="F125" s="54">
        <f t="shared" si="8"/>
        <v>0</v>
      </c>
      <c r="G125" s="1">
        <v>87629057</v>
      </c>
    </row>
    <row r="126" spans="1:8" ht="16.5" customHeight="1">
      <c r="A126" s="73" t="s">
        <v>152</v>
      </c>
      <c r="B126" s="83"/>
      <c r="C126" s="29">
        <f>C127+C135</f>
        <v>198300000</v>
      </c>
      <c r="D126" s="29">
        <f>D127+D135</f>
        <v>126780000</v>
      </c>
      <c r="E126" s="30">
        <f t="shared" si="7"/>
        <v>0.63933434190620275</v>
      </c>
      <c r="F126" s="75">
        <f t="shared" si="8"/>
        <v>0.14645758856028598</v>
      </c>
      <c r="G126" s="31">
        <f>G127+G135</f>
        <v>307700000</v>
      </c>
      <c r="H126" s="31">
        <f>H127+H135</f>
        <v>45065000</v>
      </c>
    </row>
    <row r="127" spans="1:8" ht="16.5" customHeight="1">
      <c r="A127" s="33" t="s">
        <v>191</v>
      </c>
      <c r="B127" s="34" t="s">
        <v>192</v>
      </c>
      <c r="C127" s="18">
        <f>SUM(C128:C134)</f>
        <v>198300000</v>
      </c>
      <c r="D127" s="18">
        <f>SUM(D128:D134)</f>
        <v>126780000</v>
      </c>
      <c r="E127" s="19">
        <f t="shared" si="7"/>
        <v>0.63933434190620275</v>
      </c>
      <c r="F127" s="53">
        <f t="shared" si="8"/>
        <v>0.11666666666666667</v>
      </c>
      <c r="G127" s="9">
        <f>SUM(G128:G134)</f>
        <v>257700000</v>
      </c>
      <c r="H127" s="31">
        <f>H128+H136</f>
        <v>30065000</v>
      </c>
    </row>
    <row r="128" spans="1:8" ht="16.5" customHeight="1">
      <c r="A128" s="79" t="s">
        <v>158</v>
      </c>
      <c r="B128" s="80" t="s">
        <v>193</v>
      </c>
      <c r="C128" s="38">
        <v>0</v>
      </c>
      <c r="D128" s="38">
        <v>0</v>
      </c>
      <c r="E128" s="39">
        <v>0</v>
      </c>
      <c r="F128" s="54">
        <f t="shared" si="8"/>
        <v>0.30130000000000001</v>
      </c>
      <c r="G128" s="1">
        <v>50000000</v>
      </c>
      <c r="H128" s="1">
        <f>15065000</f>
        <v>15065000</v>
      </c>
    </row>
    <row r="129" spans="1:8" ht="16.5" customHeight="1">
      <c r="A129" s="35" t="s">
        <v>158</v>
      </c>
      <c r="B129" s="36" t="s">
        <v>194</v>
      </c>
      <c r="C129" s="38">
        <v>117000000</v>
      </c>
      <c r="D129" s="38">
        <v>115500000</v>
      </c>
      <c r="E129" s="39">
        <f t="shared" si="7"/>
        <v>0.98717948717948723</v>
      </c>
      <c r="F129" s="54">
        <f t="shared" si="8"/>
        <v>1</v>
      </c>
      <c r="G129" s="1">
        <v>120000000</v>
      </c>
      <c r="H129" s="1">
        <f>120000000</f>
        <v>120000000</v>
      </c>
    </row>
    <row r="130" spans="1:8" ht="16.5" customHeight="1">
      <c r="A130" s="79" t="s">
        <v>158</v>
      </c>
      <c r="B130" s="80" t="s">
        <v>195</v>
      </c>
      <c r="C130" s="38">
        <v>2700000</v>
      </c>
      <c r="D130" s="38">
        <v>0</v>
      </c>
      <c r="E130" s="39">
        <f t="shared" si="7"/>
        <v>0</v>
      </c>
      <c r="F130" s="54">
        <f t="shared" si="8"/>
        <v>0.55555555555555558</v>
      </c>
      <c r="G130" s="1">
        <v>2700000</v>
      </c>
      <c r="H130" s="1">
        <f>1500000</f>
        <v>1500000</v>
      </c>
    </row>
    <row r="131" spans="1:8" s="84" customFormat="1" ht="16.5" customHeight="1">
      <c r="A131" s="79" t="s">
        <v>158</v>
      </c>
      <c r="B131" s="80" t="s">
        <v>196</v>
      </c>
      <c r="C131" s="38">
        <v>15600000</v>
      </c>
      <c r="D131" s="38">
        <v>0</v>
      </c>
      <c r="E131" s="39">
        <f t="shared" si="7"/>
        <v>0</v>
      </c>
      <c r="F131" s="54">
        <f t="shared" si="8"/>
        <v>0</v>
      </c>
      <c r="G131" s="1">
        <v>16000000</v>
      </c>
      <c r="H131" s="1"/>
    </row>
    <row r="132" spans="1:8" s="6" customFormat="1" ht="16.5" customHeight="1">
      <c r="A132" s="35" t="s">
        <v>158</v>
      </c>
      <c r="B132" s="36" t="s">
        <v>197</v>
      </c>
      <c r="C132" s="38">
        <v>0</v>
      </c>
      <c r="D132" s="38">
        <v>0</v>
      </c>
      <c r="E132" s="39">
        <v>0</v>
      </c>
      <c r="F132" s="54">
        <f t="shared" si="8"/>
        <v>0</v>
      </c>
      <c r="G132" s="1">
        <v>6000000</v>
      </c>
      <c r="H132" s="1"/>
    </row>
    <row r="133" spans="1:8" ht="16.5" customHeight="1">
      <c r="A133" s="35" t="s">
        <v>158</v>
      </c>
      <c r="B133" s="36" t="s">
        <v>198</v>
      </c>
      <c r="C133" s="38">
        <v>45000000</v>
      </c>
      <c r="D133" s="38">
        <v>6000000</v>
      </c>
      <c r="E133" s="39">
        <f t="shared" ref="E133:E134" si="9">(D133/C133)</f>
        <v>0.13333333333333333</v>
      </c>
      <c r="F133" s="54">
        <f t="shared" si="8"/>
        <v>0.22222222222222221</v>
      </c>
      <c r="G133" s="1">
        <v>45000000</v>
      </c>
      <c r="H133" s="1">
        <v>10000000</v>
      </c>
    </row>
    <row r="134" spans="1:8" s="26" customFormat="1" ht="16.5" customHeight="1">
      <c r="A134" s="35" t="s">
        <v>199</v>
      </c>
      <c r="B134" s="36" t="s">
        <v>200</v>
      </c>
      <c r="C134" s="38">
        <v>18000000</v>
      </c>
      <c r="D134" s="38">
        <v>5280000</v>
      </c>
      <c r="E134" s="39">
        <f t="shared" si="9"/>
        <v>0.29333333333333333</v>
      </c>
      <c r="F134" s="54">
        <f t="shared" si="8"/>
        <v>0.27777777777777779</v>
      </c>
      <c r="G134" s="1">
        <v>18000000</v>
      </c>
      <c r="H134" s="1">
        <v>5000000</v>
      </c>
    </row>
    <row r="135" spans="1:8" ht="16.5" customHeight="1">
      <c r="A135" s="47" t="s">
        <v>165</v>
      </c>
      <c r="B135" s="48" t="s">
        <v>201</v>
      </c>
      <c r="C135" s="18">
        <v>0</v>
      </c>
      <c r="D135" s="18">
        <v>0</v>
      </c>
      <c r="E135" s="19">
        <v>0</v>
      </c>
      <c r="F135" s="53">
        <f t="shared" si="8"/>
        <v>0.3</v>
      </c>
      <c r="G135" s="9">
        <f>G136</f>
        <v>50000000</v>
      </c>
      <c r="H135" s="9">
        <f>H136</f>
        <v>15000000</v>
      </c>
    </row>
    <row r="136" spans="1:8" ht="16.5" customHeight="1">
      <c r="A136" s="35" t="s">
        <v>202</v>
      </c>
      <c r="B136" s="36" t="s">
        <v>203</v>
      </c>
      <c r="C136" s="38">
        <v>0</v>
      </c>
      <c r="D136" s="38">
        <v>0</v>
      </c>
      <c r="E136" s="39">
        <v>0</v>
      </c>
      <c r="F136" s="54">
        <f t="shared" si="8"/>
        <v>0.3</v>
      </c>
      <c r="G136" s="1">
        <v>50000000</v>
      </c>
      <c r="H136" s="1">
        <v>15000000</v>
      </c>
    </row>
    <row r="137" spans="1:8">
      <c r="A137" s="77" t="s">
        <v>204</v>
      </c>
      <c r="B137" s="78"/>
      <c r="C137" s="23">
        <f>SUM(C138:C142)</f>
        <v>615000000</v>
      </c>
      <c r="D137" s="23">
        <f>SUM(D138:D142)</f>
        <v>0</v>
      </c>
      <c r="E137" s="24">
        <v>0</v>
      </c>
      <c r="F137" s="53">
        <f t="shared" si="8"/>
        <v>0</v>
      </c>
      <c r="G137" s="25">
        <f>SUM(G138:G142)</f>
        <v>20000000</v>
      </c>
    </row>
    <row r="138" spans="1:8" s="85" customFormat="1" ht="15.75">
      <c r="A138" s="64">
        <v>6956</v>
      </c>
      <c r="B138" s="42" t="s">
        <v>205</v>
      </c>
      <c r="C138" s="38">
        <v>0</v>
      </c>
      <c r="D138" s="38">
        <v>0</v>
      </c>
      <c r="E138" s="39">
        <v>0</v>
      </c>
      <c r="F138" s="54">
        <f t="shared" si="8"/>
        <v>0</v>
      </c>
      <c r="G138" s="1">
        <v>20000000</v>
      </c>
      <c r="H138" s="1"/>
    </row>
    <row r="139" spans="1:8" s="87" customFormat="1" ht="15.75">
      <c r="A139" s="64">
        <v>6955</v>
      </c>
      <c r="B139" s="76" t="s">
        <v>206</v>
      </c>
      <c r="C139" s="38">
        <v>460000000</v>
      </c>
      <c r="D139" s="38">
        <v>0</v>
      </c>
      <c r="E139" s="39">
        <v>0</v>
      </c>
      <c r="F139" s="54">
        <v>0</v>
      </c>
      <c r="G139" s="1"/>
      <c r="H139" s="86"/>
    </row>
    <row r="140" spans="1:8" s="85" customFormat="1" ht="15.75">
      <c r="A140" s="64">
        <v>6956</v>
      </c>
      <c r="B140" s="76" t="s">
        <v>207</v>
      </c>
      <c r="C140" s="38">
        <v>60000000</v>
      </c>
      <c r="D140" s="38">
        <v>0</v>
      </c>
      <c r="E140" s="39">
        <v>0</v>
      </c>
      <c r="F140" s="54">
        <v>0</v>
      </c>
      <c r="G140" s="1"/>
      <c r="H140" s="9"/>
    </row>
    <row r="141" spans="1:8" s="85" customFormat="1" ht="15.75">
      <c r="A141" s="64">
        <v>6956</v>
      </c>
      <c r="B141" s="76" t="s">
        <v>208</v>
      </c>
      <c r="C141" s="38">
        <v>20000000</v>
      </c>
      <c r="D141" s="38">
        <v>0</v>
      </c>
      <c r="E141" s="39">
        <v>0</v>
      </c>
      <c r="F141" s="54">
        <v>0</v>
      </c>
      <c r="G141" s="1"/>
      <c r="H141" s="1"/>
    </row>
    <row r="142" spans="1:8" s="85" customFormat="1" ht="15.75">
      <c r="A142" s="64">
        <v>6955</v>
      </c>
      <c r="B142" s="68" t="s">
        <v>209</v>
      </c>
      <c r="C142" s="38">
        <v>75000000</v>
      </c>
      <c r="D142" s="38">
        <v>0</v>
      </c>
      <c r="E142" s="39">
        <v>0</v>
      </c>
      <c r="F142" s="54">
        <v>0</v>
      </c>
      <c r="G142" s="1"/>
      <c r="H142" s="25"/>
    </row>
    <row r="143" spans="1:8" s="85" customFormat="1" ht="15.75">
      <c r="C143" s="88"/>
      <c r="D143" s="89"/>
      <c r="E143" s="90"/>
      <c r="F143" s="90"/>
      <c r="G143" s="1"/>
      <c r="H143" s="1"/>
    </row>
    <row r="144" spans="1:8" s="85" customFormat="1" ht="15.75">
      <c r="C144" s="94" t="s">
        <v>212</v>
      </c>
      <c r="D144" s="94"/>
      <c r="E144" s="94"/>
      <c r="F144" s="94"/>
      <c r="G144" s="1"/>
      <c r="H144" s="91"/>
    </row>
    <row r="145" spans="3:8" s="85" customFormat="1" ht="15.75">
      <c r="C145" s="95" t="s">
        <v>210</v>
      </c>
      <c r="D145" s="95"/>
      <c r="E145" s="95"/>
      <c r="F145" s="95"/>
      <c r="G145" s="1"/>
      <c r="H145" s="91"/>
    </row>
    <row r="146" spans="3:8">
      <c r="C146" s="7"/>
      <c r="D146" s="7"/>
      <c r="E146" s="8"/>
      <c r="F146" s="8"/>
    </row>
    <row r="147" spans="3:8">
      <c r="C147" s="7"/>
      <c r="D147" s="7"/>
      <c r="E147" s="8"/>
      <c r="F147" s="8"/>
    </row>
    <row r="148" spans="3:8">
      <c r="C148" s="7"/>
      <c r="D148" s="7"/>
      <c r="E148" s="8"/>
      <c r="F148" s="8"/>
    </row>
    <row r="149" spans="3:8">
      <c r="C149" s="95" t="s">
        <v>211</v>
      </c>
      <c r="D149" s="95"/>
      <c r="E149" s="95"/>
      <c r="F149" s="95"/>
    </row>
    <row r="150" spans="3:8">
      <c r="C150" s="95"/>
      <c r="D150" s="95"/>
      <c r="E150" s="95"/>
      <c r="F150" s="95"/>
    </row>
  </sheetData>
  <mergeCells count="11">
    <mergeCell ref="C144:F144"/>
    <mergeCell ref="C145:F145"/>
    <mergeCell ref="C149:F150"/>
    <mergeCell ref="A1:F1"/>
    <mergeCell ref="A6:F6"/>
    <mergeCell ref="A7:F7"/>
    <mergeCell ref="A9:A11"/>
    <mergeCell ref="B9:B11"/>
    <mergeCell ref="C9:C11"/>
    <mergeCell ref="D9:D11"/>
    <mergeCell ref="E9:F1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6 THANG DAU NĂM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MinhPham</dc:creator>
  <cp:lastModifiedBy>MinhPham</cp:lastModifiedBy>
  <dcterms:created xsi:type="dcterms:W3CDTF">2018-09-25T07:14:45Z</dcterms:created>
  <dcterms:modified xsi:type="dcterms:W3CDTF">2018-09-25T07:17:15Z</dcterms:modified>
</cp:coreProperties>
</file>